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5725"/>
</workbook>
</file>

<file path=xl/calcChain.xml><?xml version="1.0" encoding="utf-8"?>
<calcChain xmlns="http://schemas.openxmlformats.org/spreadsheetml/2006/main">
  <c r="L12" i="1"/>
  <c r="N12"/>
  <c r="S12"/>
  <c r="L13"/>
  <c r="N13"/>
  <c r="S13"/>
  <c r="L14"/>
  <c r="N14"/>
  <c r="L15"/>
  <c r="N15"/>
  <c r="S15"/>
  <c r="L16"/>
  <c r="N16"/>
  <c r="L17"/>
  <c r="N17"/>
  <c r="S17"/>
  <c r="N18"/>
  <c r="N19"/>
  <c r="L20"/>
  <c r="N20"/>
  <c r="S20"/>
  <c r="L21"/>
  <c r="N21"/>
  <c r="S21"/>
  <c r="L22"/>
  <c r="N22"/>
  <c r="N23"/>
  <c r="L24"/>
  <c r="N24"/>
  <c r="S24"/>
  <c r="L25"/>
  <c r="N25"/>
  <c r="S25"/>
  <c r="L26"/>
  <c r="N26"/>
  <c r="S26"/>
  <c r="L27"/>
  <c r="N27"/>
  <c r="S27"/>
  <c r="L28"/>
  <c r="N28"/>
  <c r="S28"/>
  <c r="L29"/>
  <c r="N29"/>
  <c r="S29"/>
  <c r="L30"/>
  <c r="N30"/>
  <c r="S30"/>
  <c r="L31"/>
  <c r="N31"/>
  <c r="S31"/>
  <c r="M36"/>
  <c r="O36"/>
  <c r="T36"/>
  <c r="M37"/>
  <c r="O37"/>
  <c r="T37"/>
  <c r="M38"/>
  <c r="O38"/>
  <c r="T38"/>
  <c r="M39"/>
  <c r="O39"/>
  <c r="T39"/>
  <c r="M40"/>
  <c r="O40"/>
  <c r="T40"/>
  <c r="M41"/>
  <c r="O41"/>
  <c r="T41"/>
  <c r="M42"/>
  <c r="O42"/>
  <c r="T42"/>
  <c r="M43"/>
  <c r="T43"/>
  <c r="M44"/>
  <c r="O44"/>
  <c r="T44"/>
  <c r="M45"/>
  <c r="O45"/>
  <c r="T45"/>
  <c r="M46"/>
  <c r="O46"/>
  <c r="T46"/>
  <c r="M47"/>
  <c r="O47"/>
  <c r="T47"/>
  <c r="M48"/>
  <c r="O48"/>
  <c r="T48"/>
  <c r="M49"/>
  <c r="O49"/>
  <c r="T49"/>
  <c r="M50"/>
  <c r="O50"/>
  <c r="T50"/>
  <c r="M51"/>
  <c r="O51"/>
  <c r="T51"/>
  <c r="M52"/>
  <c r="T52"/>
  <c r="M53"/>
  <c r="O53"/>
  <c r="T53"/>
  <c r="M54"/>
  <c r="O54"/>
  <c r="T54"/>
  <c r="M55"/>
  <c r="O55"/>
  <c r="T55"/>
  <c r="M56"/>
  <c r="O56"/>
  <c r="T56"/>
  <c r="M57"/>
  <c r="O57"/>
  <c r="T57"/>
  <c r="M58"/>
  <c r="O58"/>
  <c r="T58"/>
  <c r="M59"/>
  <c r="O59"/>
  <c r="T59"/>
  <c r="M60"/>
  <c r="O60"/>
  <c r="T60"/>
  <c r="M61"/>
  <c r="O61"/>
  <c r="T61"/>
  <c r="M62"/>
  <c r="T62"/>
  <c r="M63"/>
  <c r="O63"/>
  <c r="T63"/>
  <c r="M64"/>
  <c r="O64"/>
  <c r="T64"/>
  <c r="M65"/>
  <c r="O65"/>
  <c r="T65"/>
  <c r="M66"/>
  <c r="T66"/>
  <c r="M67"/>
  <c r="O67"/>
  <c r="T67"/>
  <c r="M68"/>
  <c r="O68"/>
  <c r="T68"/>
  <c r="M69"/>
  <c r="O69"/>
  <c r="T69"/>
  <c r="M70"/>
  <c r="O70"/>
  <c r="T70"/>
  <c r="M71"/>
  <c r="O71"/>
  <c r="T71"/>
  <c r="M72"/>
  <c r="O72"/>
  <c r="T72"/>
  <c r="M73"/>
  <c r="O73"/>
  <c r="T73"/>
  <c r="M74"/>
  <c r="O74"/>
  <c r="T74"/>
  <c r="M75"/>
  <c r="O75"/>
  <c r="T75"/>
  <c r="M76"/>
  <c r="O76"/>
  <c r="T76"/>
  <c r="M77"/>
  <c r="O77"/>
  <c r="T77"/>
  <c r="M78"/>
  <c r="O78"/>
  <c r="T78"/>
  <c r="M79"/>
  <c r="O79"/>
  <c r="T79"/>
  <c r="M80"/>
  <c r="O80"/>
  <c r="T80"/>
  <c r="M81"/>
  <c r="O81"/>
  <c r="T81"/>
  <c r="M82"/>
  <c r="T82"/>
  <c r="M83"/>
  <c r="O83"/>
  <c r="T83"/>
  <c r="M84"/>
  <c r="O84"/>
  <c r="T84"/>
  <c r="M85"/>
  <c r="O85"/>
  <c r="T85"/>
  <c r="M86"/>
  <c r="O86"/>
  <c r="T86"/>
  <c r="M87"/>
  <c r="O87"/>
  <c r="T87"/>
  <c r="M88"/>
  <c r="O88"/>
  <c r="T88"/>
  <c r="M89"/>
  <c r="O89"/>
  <c r="T89"/>
  <c r="M90"/>
  <c r="O90"/>
  <c r="T90"/>
  <c r="M91"/>
  <c r="T91"/>
  <c r="M92"/>
  <c r="T92"/>
  <c r="M93"/>
  <c r="O93"/>
  <c r="T93"/>
  <c r="M94"/>
  <c r="O94"/>
  <c r="T94"/>
  <c r="M95"/>
  <c r="O95"/>
  <c r="T95"/>
  <c r="M96"/>
  <c r="O96"/>
  <c r="T96"/>
  <c r="M97"/>
  <c r="O97"/>
  <c r="T97"/>
  <c r="M98"/>
  <c r="O98"/>
  <c r="T98"/>
  <c r="M99"/>
  <c r="O99"/>
  <c r="T99"/>
  <c r="M100"/>
  <c r="O100"/>
  <c r="T100"/>
  <c r="M101"/>
  <c r="O101"/>
  <c r="T101"/>
  <c r="M102"/>
  <c r="O102"/>
  <c r="T102"/>
  <c r="M103"/>
  <c r="O103"/>
  <c r="T103"/>
  <c r="M104"/>
  <c r="O104"/>
  <c r="T104"/>
  <c r="M105"/>
  <c r="O105"/>
  <c r="T105"/>
  <c r="M106"/>
  <c r="T106"/>
  <c r="M107"/>
  <c r="T107"/>
  <c r="M108"/>
  <c r="O108"/>
  <c r="L113"/>
  <c r="N113"/>
  <c r="L119"/>
  <c r="N119"/>
  <c r="S119"/>
  <c r="L120"/>
  <c r="N120"/>
  <c r="L121"/>
  <c r="N121"/>
</calcChain>
</file>

<file path=xl/sharedStrings.xml><?xml version="1.0" encoding="utf-8"?>
<sst xmlns="http://schemas.openxmlformats.org/spreadsheetml/2006/main" count="482" uniqueCount="180">
  <si>
    <t>ОТЧЕТ ОБ ИСПОЛНЕНИИ БЮДЖЕТА</t>
  </si>
  <si>
    <t>КОДЫ</t>
  </si>
  <si>
    <t xml:space="preserve">Форма по ОКУД </t>
  </si>
  <si>
    <t>0503117</t>
  </si>
  <si>
    <t>на 1 ноября 2017 г.</t>
  </si>
  <si>
    <t xml:space="preserve">Дата </t>
  </si>
  <si>
    <t>Наименование финансового органа</t>
  </si>
  <si>
    <t>Администрация сельского поселения Шугур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</si>
  <si>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</si>
  <si>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</si>
  <si>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</si>
  <si>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</si>
  <si>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муниципальное образование сельское поселение Шугур</t>
  </si>
  <si>
    <t xml:space="preserve">по ОКТМО </t>
  </si>
  <si>
    <t>71116912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</si>
  <si>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</si>
  <si>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</si>
  <si>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</si>
  <si>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</si>
  <si>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</si>
  <si>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</si>
  <si>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</si>
  <si>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</si>
  <si>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</si>
  <si>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</si>
  <si>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</si>
  <si>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</si>
  <si>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</si>
  <si>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</si>
  <si>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</si>
  <si>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</si>
  <si>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</si>
  <si>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</si>
  <si>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</si>
  <si>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</si>
  <si>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</si>
  <si>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</si>
  <si>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</si>
  <si>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</si>
  <si>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</si>
  <si>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</si>
  <si>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</si>
  <si>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</si>
  <si>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</si>
  <si>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</si>
  <si>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</si>
  <si>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</si>
  <si>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</si>
  <si>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</si>
  <si>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</si>
  <si>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</si>
  <si>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</si>
  <si>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</si>
  <si>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</si>
  <si>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</si>
  <si>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</si>
  <si>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</si>
  <si>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</si>
  <si>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</si>
  <si>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</si>
  <si>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</si>
  <si>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</si>
  <si>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</si>
  <si>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</si>
  <si>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</si>
  <si>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</si>
  <si>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</si>
  <si>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</si>
  <si>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Дотации бюджетам сельских поселений на выравнивание бюджетной обеспеченности</t>
  </si>
  <si>
    <t>650 20215001 10 0000 151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</si>
  <si>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</si>
  <si>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</si>
  <si>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</si>
  <si>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</si>
  <si>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</si>
  <si>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</si>
  <si>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</si>
  <si>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</si>
  <si>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</si>
  <si>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</si>
  <si>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</si>
  <si>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</si>
  <si>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</si>
  <si>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</si>
  <si>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</si>
  <si>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</si>
  <si>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</si>
  <si>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</si>
  <si>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</si>
  <si>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</si>
  <si>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</si>
  <si>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</si>
  <si>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</si>
  <si>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</si>
  <si>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</si>
  <si>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</si>
  <si>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</si>
  <si>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</si>
  <si>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</si>
  <si>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650 0113 6000002400 122</t>
  </si>
  <si>
    <t>Транспортные услуги</t>
  </si>
  <si>
    <t>222</t>
  </si>
  <si>
    <t>Услуги связи</t>
  </si>
  <si>
    <t>650 0113 6000002400 244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</si>
  <si>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</si>
  <si>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</si>
  <si>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</si>
  <si>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</si>
  <si>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</si>
  <si>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</si>
  <si>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</si>
  <si>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материальных запасов</t>
  </si>
  <si>
    <t>340</t>
  </si>
  <si>
    <t>650 0113 6000002400 851</t>
  </si>
  <si>
    <t>650 0113 6000002400 852</t>
  </si>
  <si>
    <t>650 0113 6000002400 853</t>
  </si>
  <si>
    <t>650 0203 6000051180 121</t>
  </si>
  <si>
    <t>650 0203 6000051180 129</t>
  </si>
  <si>
    <t>650 0203 6000051180 244</t>
  </si>
  <si>
    <t>650 0304 6000059300 121</t>
  </si>
  <si>
    <t>650 0304 6000059300 129</t>
  </si>
  <si>
    <t>650 0304 60000D9300 242</t>
  </si>
  <si>
    <t>650 0304 60000D9300 244</t>
  </si>
  <si>
    <t>650 0314 0100074110 244</t>
  </si>
  <si>
    <t>650 0401 6000075060 244</t>
  </si>
  <si>
    <t>650 0401 6000085060 244</t>
  </si>
  <si>
    <t>650 0409 0200074190 244</t>
  </si>
  <si>
    <t>650 0409 6000074190 540</t>
  </si>
  <si>
    <t>650 0410 6000002400 242</t>
  </si>
  <si>
    <t>Увеличение стоимости основных средств</t>
  </si>
  <si>
    <t>310</t>
  </si>
  <si>
    <t>650 0502 6000070010 540</t>
  </si>
  <si>
    <t>650 0502 6000082240 540</t>
  </si>
  <si>
    <t>650 0502 60000S2240 540</t>
  </si>
  <si>
    <t>650 0503 0400006100 244</t>
  </si>
  <si>
    <t>650 0503 0400006400 244</t>
  </si>
  <si>
    <t>650 0503 0400006500 244</t>
  </si>
  <si>
    <t>650 0505 6000002040 540</t>
  </si>
  <si>
    <t>650 0707 6000000590 111</t>
  </si>
  <si>
    <t>650 0707 6000000590 112</t>
  </si>
  <si>
    <t>650 0707 6000000590 119</t>
  </si>
  <si>
    <t>650 0707 6000000590 244</t>
  </si>
  <si>
    <t>650 0801 6000000590 111</t>
  </si>
  <si>
    <t>650 0801 6000000590 112</t>
  </si>
  <si>
    <t>650 0801 6000000590 119</t>
  </si>
  <si>
    <t>650 0801 6000000590 242</t>
  </si>
  <si>
    <t>650 0801 6000000590 244</t>
  </si>
  <si>
    <t>650 0801 6000000590 851</t>
  </si>
  <si>
    <t>650 0801 6000000590 852</t>
  </si>
  <si>
    <t>650 0801 6000082440 111</t>
  </si>
  <si>
    <t>650 0801 6000082440 119</t>
  </si>
  <si>
    <t>650 0801 60000S2440 111</t>
  </si>
  <si>
    <t>650 0801 60000S2440 119</t>
  </si>
  <si>
    <t>Пенсии, пособия, выплачиваемые организациями сектора государственного управления</t>
  </si>
  <si>
    <t>650 1001 6000000220 321</t>
  </si>
  <si>
    <t>263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</si>
  <si>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</si>
  <si>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</si>
  <si>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</si>
  <si>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</si>
  <si>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</si>
  <si>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</si>
  <si>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</si>
  <si>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</si>
  <si>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</si>
  <si>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</si>
  <si>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</si>
  <si>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</si>
  <si>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</si>
  <si>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</si>
  <si>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</si>
  <si>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</si>
  <si>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</si>
  <si>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</si>
  <si>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</si>
  <si>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</si>
  <si>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</si>
  <si>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</si>
  <si>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7 ноября 2017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</si>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</sst>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125"/>
  <sheetViews>
    <sheetView tabSelected="1" workbookViewId="0">
      <selection sqref="A1:T1"/>
    </sheetView>
  </sheetViews>
  <sheetFormatPr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43040</v>
      </c>
    </row>
    <row r="4" spans="1:21" s="1" customFormat="1" ht="14.1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4.1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4.1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4.1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4.1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4.1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5.1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9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4.1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42956217.44</f>
        <v>42956217.439999998</v>
      </c>
      <c r="M12" s="21"/>
      <c r="N12" s="21">
        <f>29875571.84</f>
        <v>29875571.84</v>
      </c>
      <c r="O12" s="21"/>
      <c r="P12" s="21"/>
      <c r="Q12" s="21"/>
      <c r="R12" s="21"/>
      <c r="S12" s="22">
        <f>13080645.6</f>
        <v>13080645.6</v>
      </c>
      <c r="T12" s="22"/>
      <c r="U12" s="22"/>
    </row>
    <row r="13" spans="1:21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1654008.42</f>
        <v>1654008.42</v>
      </c>
      <c r="M13" s="25"/>
      <c r="N13" s="25">
        <f>1534830.78</f>
        <v>1534830.78</v>
      </c>
      <c r="O13" s="25"/>
      <c r="P13" s="25"/>
      <c r="Q13" s="25"/>
      <c r="R13" s="25"/>
      <c r="S13" s="26">
        <f>119177.64</f>
        <v>119177.64</v>
      </c>
      <c r="T13" s="26"/>
      <c r="U13" s="26"/>
    </row>
    <row r="14" spans="1:21" s="1" customFormat="1" ht="54.9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15473.54</f>
        <v>15473.54</v>
      </c>
      <c r="M14" s="25"/>
      <c r="N14" s="25">
        <f>16072.97</f>
        <v>16072.97</v>
      </c>
      <c r="O14" s="25"/>
      <c r="P14" s="25"/>
      <c r="Q14" s="25"/>
      <c r="R14" s="25"/>
      <c r="S14" s="27" t="s">
        <v>41</v>
      </c>
      <c r="T14" s="27"/>
      <c r="U14" s="27"/>
    </row>
    <row r="15" spans="1:21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3077521.83</f>
        <v>3077521.83</v>
      </c>
      <c r="M15" s="25"/>
      <c r="N15" s="25">
        <f>2527216.24</f>
        <v>2527216.2400000002</v>
      </c>
      <c r="O15" s="25"/>
      <c r="P15" s="25"/>
      <c r="Q15" s="25"/>
      <c r="R15" s="25"/>
      <c r="S15" s="26">
        <f>550305.59</f>
        <v>550305.59</v>
      </c>
      <c r="T15" s="26"/>
      <c r="U15" s="26"/>
    </row>
    <row r="16" spans="1:21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-280282.35</f>
        <v>-280282.34999999998</v>
      </c>
      <c r="M16" s="25"/>
      <c r="N16" s="25">
        <f>-299554.17</f>
        <v>-299554.17</v>
      </c>
      <c r="O16" s="25"/>
      <c r="P16" s="25"/>
      <c r="Q16" s="25"/>
      <c r="R16" s="25"/>
      <c r="S16" s="27" t="s">
        <v>41</v>
      </c>
      <c r="T16" s="27"/>
      <c r="U16" s="27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672000</f>
        <v>672000</v>
      </c>
      <c r="M17" s="25"/>
      <c r="N17" s="25">
        <f>644077.55</f>
        <v>644077.55000000005</v>
      </c>
      <c r="O17" s="25"/>
      <c r="P17" s="25"/>
      <c r="Q17" s="25"/>
      <c r="R17" s="25"/>
      <c r="S17" s="26">
        <f>27922.45</f>
        <v>27922.45</v>
      </c>
      <c r="T17" s="26"/>
      <c r="U17" s="26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8" t="s">
        <v>41</v>
      </c>
      <c r="M18" s="28"/>
      <c r="N18" s="25">
        <f>15.03</f>
        <v>15.03</v>
      </c>
      <c r="O18" s="25"/>
      <c r="P18" s="25"/>
      <c r="Q18" s="25"/>
      <c r="R18" s="25"/>
      <c r="S18" s="27" t="s">
        <v>41</v>
      </c>
      <c r="T18" s="27"/>
      <c r="U18" s="27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8" t="s">
        <v>41</v>
      </c>
      <c r="M19" s="28"/>
      <c r="N19" s="25">
        <f>1061.69</f>
        <v>1061.69</v>
      </c>
      <c r="O19" s="25"/>
      <c r="P19" s="25"/>
      <c r="Q19" s="25"/>
      <c r="R19" s="25"/>
      <c r="S19" s="27" t="s">
        <v>41</v>
      </c>
      <c r="T19" s="27"/>
      <c r="U19" s="27"/>
    </row>
    <row r="20" spans="1:21" s="1" customFormat="1" ht="14.1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50000</f>
        <v>50000</v>
      </c>
      <c r="M20" s="25"/>
      <c r="N20" s="25">
        <f>40322.2</f>
        <v>40322.199999999997</v>
      </c>
      <c r="O20" s="25"/>
      <c r="P20" s="25"/>
      <c r="Q20" s="25"/>
      <c r="R20" s="25"/>
      <c r="S20" s="26">
        <f>9677.8</f>
        <v>9677.7999999999993</v>
      </c>
      <c r="T20" s="26"/>
      <c r="U20" s="26"/>
    </row>
    <row r="21" spans="1:21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40000</f>
        <v>40000</v>
      </c>
      <c r="M21" s="25"/>
      <c r="N21" s="25">
        <f>31292.02</f>
        <v>31292.02</v>
      </c>
      <c r="O21" s="25"/>
      <c r="P21" s="25"/>
      <c r="Q21" s="25"/>
      <c r="R21" s="25"/>
      <c r="S21" s="26">
        <f>8707.98</f>
        <v>8707.98</v>
      </c>
      <c r="T21" s="26"/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25000</f>
        <v>25000</v>
      </c>
      <c r="M22" s="25"/>
      <c r="N22" s="25">
        <f>29721.53</f>
        <v>29721.53</v>
      </c>
      <c r="O22" s="25"/>
      <c r="P22" s="25"/>
      <c r="Q22" s="25"/>
      <c r="R22" s="25"/>
      <c r="S22" s="27" t="s">
        <v>41</v>
      </c>
      <c r="T22" s="27"/>
      <c r="U22" s="27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8" t="s">
        <v>41</v>
      </c>
      <c r="M23" s="28"/>
      <c r="N23" s="25">
        <f>3329.3</f>
        <v>3329.3</v>
      </c>
      <c r="O23" s="25"/>
      <c r="P23" s="25"/>
      <c r="Q23" s="25"/>
      <c r="R23" s="25"/>
      <c r="S23" s="27" t="s">
        <v>41</v>
      </c>
      <c r="T23" s="27"/>
      <c r="U23" s="27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30000</f>
        <v>30000</v>
      </c>
      <c r="M24" s="25"/>
      <c r="N24" s="25">
        <f>13440</f>
        <v>13440</v>
      </c>
      <c r="O24" s="25"/>
      <c r="P24" s="25"/>
      <c r="Q24" s="25"/>
      <c r="R24" s="25"/>
      <c r="S24" s="26">
        <f>16560</f>
        <v>16560</v>
      </c>
      <c r="T24" s="26"/>
      <c r="U24" s="26"/>
    </row>
    <row r="25" spans="1:21" s="1" customFormat="1" ht="33.950000000000003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130000</f>
        <v>130000</v>
      </c>
      <c r="M25" s="25"/>
      <c r="N25" s="25">
        <f>110413.59</f>
        <v>110413.59</v>
      </c>
      <c r="O25" s="25"/>
      <c r="P25" s="25"/>
      <c r="Q25" s="25"/>
      <c r="R25" s="25"/>
      <c r="S25" s="26">
        <f>19586.41</f>
        <v>19586.41</v>
      </c>
      <c r="T25" s="26"/>
      <c r="U25" s="26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250000</f>
        <v>250000</v>
      </c>
      <c r="M26" s="25"/>
      <c r="N26" s="25">
        <f>247608.28</f>
        <v>247608.28</v>
      </c>
      <c r="O26" s="25"/>
      <c r="P26" s="25"/>
      <c r="Q26" s="25"/>
      <c r="R26" s="25"/>
      <c r="S26" s="26">
        <f>2391.72</f>
        <v>2391.7199999999998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17000</f>
        <v>17000</v>
      </c>
      <c r="M27" s="25"/>
      <c r="N27" s="25">
        <f>11850</f>
        <v>11850</v>
      </c>
      <c r="O27" s="25"/>
      <c r="P27" s="25"/>
      <c r="Q27" s="25"/>
      <c r="R27" s="25"/>
      <c r="S27" s="26">
        <f>5150</f>
        <v>5150</v>
      </c>
      <c r="T27" s="26"/>
      <c r="U27" s="26"/>
    </row>
    <row r="28" spans="1:21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5">
        <f>12918200</f>
        <v>12918200</v>
      </c>
      <c r="M28" s="25"/>
      <c r="N28" s="25">
        <f>11045233.33</f>
        <v>11045233.33</v>
      </c>
      <c r="O28" s="25"/>
      <c r="P28" s="25"/>
      <c r="Q28" s="25"/>
      <c r="R28" s="25"/>
      <c r="S28" s="26">
        <f>1872966.67</f>
        <v>1872966.67</v>
      </c>
      <c r="T28" s="26"/>
      <c r="U28" s="26"/>
    </row>
    <row r="29" spans="1:21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5">
        <f>189200</f>
        <v>189200</v>
      </c>
      <c r="M29" s="25"/>
      <c r="N29" s="25">
        <f>156632</f>
        <v>156632</v>
      </c>
      <c r="O29" s="25"/>
      <c r="P29" s="25"/>
      <c r="Q29" s="25"/>
      <c r="R29" s="25"/>
      <c r="S29" s="26">
        <f>32568</f>
        <v>32568</v>
      </c>
      <c r="T29" s="26"/>
      <c r="U29" s="26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25700</f>
        <v>25700</v>
      </c>
      <c r="M30" s="25"/>
      <c r="N30" s="25">
        <f>23553</f>
        <v>23553</v>
      </c>
      <c r="O30" s="25"/>
      <c r="P30" s="25"/>
      <c r="Q30" s="25"/>
      <c r="R30" s="25"/>
      <c r="S30" s="26">
        <f>2147</f>
        <v>2147</v>
      </c>
      <c r="T30" s="26"/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24142396</f>
        <v>24142396</v>
      </c>
      <c r="M31" s="25"/>
      <c r="N31" s="25">
        <f>13738456.5</f>
        <v>13738456.5</v>
      </c>
      <c r="O31" s="25"/>
      <c r="P31" s="25"/>
      <c r="Q31" s="25"/>
      <c r="R31" s="25"/>
      <c r="S31" s="26">
        <f>10403939.5</f>
        <v>10403939.5</v>
      </c>
      <c r="T31" s="26"/>
      <c r="U31" s="26"/>
    </row>
    <row r="32" spans="1:21" s="1" customFormat="1" ht="14.1" customHeight="1">
      <c r="A32" s="29" t="s">
        <v>10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s="1" customFormat="1" ht="14.1" customHeight="1">
      <c r="A33" s="12" t="s">
        <v>76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" customFormat="1" ht="35.1" customHeight="1">
      <c r="A34" s="13" t="s">
        <v>22</v>
      </c>
      <c r="B34" s="13"/>
      <c r="C34" s="13"/>
      <c r="D34" s="13"/>
      <c r="E34" s="13"/>
      <c r="F34" s="13"/>
      <c r="G34" s="13" t="s">
        <v>23</v>
      </c>
      <c r="H34" s="13"/>
      <c r="I34" s="13" t="s">
        <v>77</v>
      </c>
      <c r="J34" s="13"/>
      <c r="K34" s="14" t="s">
        <v>78</v>
      </c>
      <c r="L34" s="14"/>
      <c r="M34" s="14" t="s">
        <v>25</v>
      </c>
      <c r="N34" s="14"/>
      <c r="O34" s="14" t="s">
        <v>26</v>
      </c>
      <c r="P34" s="14"/>
      <c r="Q34" s="14"/>
      <c r="R34" s="14"/>
      <c r="S34" s="14"/>
      <c r="T34" s="15" t="s">
        <v>27</v>
      </c>
      <c r="U34" s="15"/>
    </row>
    <row r="35" spans="1:21" s="1" customFormat="1" ht="14.1" customHeight="1">
      <c r="A35" s="16" t="s">
        <v>28</v>
      </c>
      <c r="B35" s="16"/>
      <c r="C35" s="16"/>
      <c r="D35" s="16"/>
      <c r="E35" s="16"/>
      <c r="F35" s="16"/>
      <c r="G35" s="16" t="s">
        <v>29</v>
      </c>
      <c r="H35" s="16"/>
      <c r="I35" s="16" t="s">
        <v>30</v>
      </c>
      <c r="J35" s="16"/>
      <c r="K35" s="17" t="s">
        <v>31</v>
      </c>
      <c r="L35" s="17"/>
      <c r="M35" s="17" t="s">
        <v>32</v>
      </c>
      <c r="N35" s="17"/>
      <c r="O35" s="17" t="s">
        <v>33</v>
      </c>
      <c r="P35" s="17"/>
      <c r="Q35" s="17"/>
      <c r="R35" s="17"/>
      <c r="S35" s="17"/>
      <c r="T35" s="18" t="s">
        <v>79</v>
      </c>
      <c r="U35" s="18"/>
    </row>
    <row r="36" spans="1:21" s="1" customFormat="1" ht="14.1" customHeight="1">
      <c r="A36" s="19" t="s">
        <v>80</v>
      </c>
      <c r="B36" s="19"/>
      <c r="C36" s="19"/>
      <c r="D36" s="19"/>
      <c r="E36" s="19"/>
      <c r="F36" s="19"/>
      <c r="G36" s="20" t="s">
        <v>81</v>
      </c>
      <c r="H36" s="20"/>
      <c r="I36" s="20" t="s">
        <v>36</v>
      </c>
      <c r="J36" s="20"/>
      <c r="K36" s="30" t="s">
        <v>36</v>
      </c>
      <c r="L36" s="30"/>
      <c r="M36" s="21">
        <f>45124875.23</f>
        <v>45124875.229999997</v>
      </c>
      <c r="N36" s="21"/>
      <c r="O36" s="21">
        <f>25660814.06</f>
        <v>25660814.059999999</v>
      </c>
      <c r="P36" s="21"/>
      <c r="Q36" s="21"/>
      <c r="R36" s="21"/>
      <c r="S36" s="21"/>
      <c r="T36" s="22">
        <f>19464061.17</f>
        <v>19464061.170000002</v>
      </c>
      <c r="U36" s="22"/>
    </row>
    <row r="37" spans="1:21" s="1" customFormat="1" ht="14.1" customHeight="1">
      <c r="A37" s="31" t="s">
        <v>82</v>
      </c>
      <c r="B37" s="31"/>
      <c r="C37" s="31"/>
      <c r="D37" s="31"/>
      <c r="E37" s="31"/>
      <c r="F37" s="31"/>
      <c r="G37" s="32" t="s">
        <v>81</v>
      </c>
      <c r="H37" s="32"/>
      <c r="I37" s="32" t="s">
        <v>83</v>
      </c>
      <c r="J37" s="32"/>
      <c r="K37" s="33" t="s">
        <v>84</v>
      </c>
      <c r="L37" s="33"/>
      <c r="M37" s="34">
        <f>870000</f>
        <v>870000</v>
      </c>
      <c r="N37" s="34"/>
      <c r="O37" s="34">
        <f>684018.38</f>
        <v>684018.38</v>
      </c>
      <c r="P37" s="34"/>
      <c r="Q37" s="34"/>
      <c r="R37" s="34"/>
      <c r="S37" s="34"/>
      <c r="T37" s="35">
        <f>185981.62</f>
        <v>185981.62</v>
      </c>
      <c r="U37" s="35"/>
    </row>
    <row r="38" spans="1:21" s="1" customFormat="1" ht="14.1" customHeight="1">
      <c r="A38" s="31" t="s">
        <v>85</v>
      </c>
      <c r="B38" s="31"/>
      <c r="C38" s="31"/>
      <c r="D38" s="31"/>
      <c r="E38" s="31"/>
      <c r="F38" s="31"/>
      <c r="G38" s="32" t="s">
        <v>81</v>
      </c>
      <c r="H38" s="32"/>
      <c r="I38" s="32" t="s">
        <v>86</v>
      </c>
      <c r="J38" s="32"/>
      <c r="K38" s="33" t="s">
        <v>87</v>
      </c>
      <c r="L38" s="33"/>
      <c r="M38" s="34">
        <f>250000</f>
        <v>250000</v>
      </c>
      <c r="N38" s="34"/>
      <c r="O38" s="34">
        <f>195130.07</f>
        <v>195130.07</v>
      </c>
      <c r="P38" s="34"/>
      <c r="Q38" s="34"/>
      <c r="R38" s="34"/>
      <c r="S38" s="34"/>
      <c r="T38" s="35">
        <f>54869.93</f>
        <v>54869.93</v>
      </c>
      <c r="U38" s="35"/>
    </row>
    <row r="39" spans="1:21" s="1" customFormat="1" ht="14.1" customHeight="1">
      <c r="A39" s="31" t="s">
        <v>82</v>
      </c>
      <c r="B39" s="31"/>
      <c r="C39" s="31"/>
      <c r="D39" s="31"/>
      <c r="E39" s="31"/>
      <c r="F39" s="31"/>
      <c r="G39" s="32" t="s">
        <v>81</v>
      </c>
      <c r="H39" s="32"/>
      <c r="I39" s="32" t="s">
        <v>88</v>
      </c>
      <c r="J39" s="32"/>
      <c r="K39" s="33" t="s">
        <v>84</v>
      </c>
      <c r="L39" s="33"/>
      <c r="M39" s="34">
        <f>3401788</f>
        <v>3401788</v>
      </c>
      <c r="N39" s="34"/>
      <c r="O39" s="34">
        <f>2112783.39</f>
        <v>2112783.39</v>
      </c>
      <c r="P39" s="34"/>
      <c r="Q39" s="34"/>
      <c r="R39" s="34"/>
      <c r="S39" s="34"/>
      <c r="T39" s="35">
        <f>1289004.61</f>
        <v>1289004.6100000001</v>
      </c>
      <c r="U39" s="35"/>
    </row>
    <row r="40" spans="1:21" s="1" customFormat="1" ht="14.1" customHeight="1">
      <c r="A40" s="31" t="s">
        <v>89</v>
      </c>
      <c r="B40" s="31"/>
      <c r="C40" s="31"/>
      <c r="D40" s="31"/>
      <c r="E40" s="31"/>
      <c r="F40" s="31"/>
      <c r="G40" s="32" t="s">
        <v>81</v>
      </c>
      <c r="H40" s="32"/>
      <c r="I40" s="32" t="s">
        <v>90</v>
      </c>
      <c r="J40" s="32"/>
      <c r="K40" s="33" t="s">
        <v>91</v>
      </c>
      <c r="L40" s="33"/>
      <c r="M40" s="34">
        <f>123129.64</f>
        <v>123129.64</v>
      </c>
      <c r="N40" s="34"/>
      <c r="O40" s="34">
        <f>41223</f>
        <v>41223</v>
      </c>
      <c r="P40" s="34"/>
      <c r="Q40" s="34"/>
      <c r="R40" s="34"/>
      <c r="S40" s="34"/>
      <c r="T40" s="35">
        <f>81906.64</f>
        <v>81906.64</v>
      </c>
      <c r="U40" s="35"/>
    </row>
    <row r="41" spans="1:21" s="1" customFormat="1" ht="14.1" customHeight="1">
      <c r="A41" s="31" t="s">
        <v>85</v>
      </c>
      <c r="B41" s="31"/>
      <c r="C41" s="31"/>
      <c r="D41" s="31"/>
      <c r="E41" s="31"/>
      <c r="F41" s="31"/>
      <c r="G41" s="32" t="s">
        <v>81</v>
      </c>
      <c r="H41" s="32"/>
      <c r="I41" s="32" t="s">
        <v>92</v>
      </c>
      <c r="J41" s="32"/>
      <c r="K41" s="33" t="s">
        <v>87</v>
      </c>
      <c r="L41" s="33"/>
      <c r="M41" s="34">
        <f>1031740</f>
        <v>1031740</v>
      </c>
      <c r="N41" s="34"/>
      <c r="O41" s="34">
        <f>762238.11</f>
        <v>762238.11</v>
      </c>
      <c r="P41" s="34"/>
      <c r="Q41" s="34"/>
      <c r="R41" s="34"/>
      <c r="S41" s="34"/>
      <c r="T41" s="35">
        <f>269501.89</f>
        <v>269501.89</v>
      </c>
      <c r="U41" s="35"/>
    </row>
    <row r="42" spans="1:21" s="1" customFormat="1" ht="14.1" customHeight="1">
      <c r="A42" s="31" t="s">
        <v>93</v>
      </c>
      <c r="B42" s="31"/>
      <c r="C42" s="31"/>
      <c r="D42" s="31"/>
      <c r="E42" s="31"/>
      <c r="F42" s="31"/>
      <c r="G42" s="32" t="s">
        <v>81</v>
      </c>
      <c r="H42" s="32"/>
      <c r="I42" s="32" t="s">
        <v>94</v>
      </c>
      <c r="J42" s="32"/>
      <c r="K42" s="33" t="s">
        <v>95</v>
      </c>
      <c r="L42" s="33"/>
      <c r="M42" s="34">
        <f>96842</f>
        <v>96842</v>
      </c>
      <c r="N42" s="34"/>
      <c r="O42" s="34">
        <f>96842</f>
        <v>96842</v>
      </c>
      <c r="P42" s="34"/>
      <c r="Q42" s="34"/>
      <c r="R42" s="34"/>
      <c r="S42" s="34"/>
      <c r="T42" s="35">
        <f>0</f>
        <v>0</v>
      </c>
      <c r="U42" s="35"/>
    </row>
    <row r="43" spans="1:21" s="1" customFormat="1" ht="14.1" customHeight="1">
      <c r="A43" s="31" t="s">
        <v>96</v>
      </c>
      <c r="B43" s="31"/>
      <c r="C43" s="31"/>
      <c r="D43" s="31"/>
      <c r="E43" s="31"/>
      <c r="F43" s="31"/>
      <c r="G43" s="32" t="s">
        <v>81</v>
      </c>
      <c r="H43" s="32"/>
      <c r="I43" s="32" t="s">
        <v>97</v>
      </c>
      <c r="J43" s="32"/>
      <c r="K43" s="33" t="s">
        <v>98</v>
      </c>
      <c r="L43" s="33"/>
      <c r="M43" s="34">
        <f>34500</f>
        <v>34500</v>
      </c>
      <c r="N43" s="34"/>
      <c r="O43" s="36" t="s">
        <v>41</v>
      </c>
      <c r="P43" s="36"/>
      <c r="Q43" s="36"/>
      <c r="R43" s="36"/>
      <c r="S43" s="36"/>
      <c r="T43" s="35">
        <f>34500</f>
        <v>34500</v>
      </c>
      <c r="U43" s="35"/>
    </row>
    <row r="44" spans="1:21" s="1" customFormat="1" ht="14.1" customHeight="1">
      <c r="A44" s="31" t="s">
        <v>89</v>
      </c>
      <c r="B44" s="31"/>
      <c r="C44" s="31"/>
      <c r="D44" s="31"/>
      <c r="E44" s="31"/>
      <c r="F44" s="31"/>
      <c r="G44" s="32" t="s">
        <v>81</v>
      </c>
      <c r="H44" s="32"/>
      <c r="I44" s="32" t="s">
        <v>99</v>
      </c>
      <c r="J44" s="32"/>
      <c r="K44" s="33" t="s">
        <v>91</v>
      </c>
      <c r="L44" s="33"/>
      <c r="M44" s="34">
        <f>369825.36</f>
        <v>369825.36</v>
      </c>
      <c r="N44" s="34"/>
      <c r="O44" s="34">
        <f>359735.36</f>
        <v>359735.36</v>
      </c>
      <c r="P44" s="34"/>
      <c r="Q44" s="34"/>
      <c r="R44" s="34"/>
      <c r="S44" s="34"/>
      <c r="T44" s="35">
        <f>10090</f>
        <v>10090</v>
      </c>
      <c r="U44" s="35"/>
    </row>
    <row r="45" spans="1:21" s="1" customFormat="1" ht="14.1" customHeight="1">
      <c r="A45" s="31" t="s">
        <v>100</v>
      </c>
      <c r="B45" s="31"/>
      <c r="C45" s="31"/>
      <c r="D45" s="31"/>
      <c r="E45" s="31"/>
      <c r="F45" s="31"/>
      <c r="G45" s="32" t="s">
        <v>81</v>
      </c>
      <c r="H45" s="32"/>
      <c r="I45" s="32" t="s">
        <v>99</v>
      </c>
      <c r="J45" s="32"/>
      <c r="K45" s="33" t="s">
        <v>101</v>
      </c>
      <c r="L45" s="33"/>
      <c r="M45" s="34">
        <f>5000</f>
        <v>5000</v>
      </c>
      <c r="N45" s="34"/>
      <c r="O45" s="34">
        <f>2498.65</f>
        <v>2498.65</v>
      </c>
      <c r="P45" s="34"/>
      <c r="Q45" s="34"/>
      <c r="R45" s="34"/>
      <c r="S45" s="34"/>
      <c r="T45" s="35">
        <f>2501.35</f>
        <v>2501.35</v>
      </c>
      <c r="U45" s="35"/>
    </row>
    <row r="46" spans="1:21" s="1" customFormat="1" ht="14.1" customHeight="1">
      <c r="A46" s="31" t="s">
        <v>102</v>
      </c>
      <c r="B46" s="31"/>
      <c r="C46" s="31"/>
      <c r="D46" s="31"/>
      <c r="E46" s="31"/>
      <c r="F46" s="31"/>
      <c r="G46" s="32" t="s">
        <v>81</v>
      </c>
      <c r="H46" s="32"/>
      <c r="I46" s="32" t="s">
        <v>103</v>
      </c>
      <c r="J46" s="32"/>
      <c r="K46" s="33" t="s">
        <v>104</v>
      </c>
      <c r="L46" s="33"/>
      <c r="M46" s="34">
        <f>5000</f>
        <v>5000</v>
      </c>
      <c r="N46" s="34"/>
      <c r="O46" s="34">
        <f>3449</f>
        <v>3449</v>
      </c>
      <c r="P46" s="34"/>
      <c r="Q46" s="34"/>
      <c r="R46" s="34"/>
      <c r="S46" s="34"/>
      <c r="T46" s="35">
        <f>1551</f>
        <v>1551</v>
      </c>
      <c r="U46" s="35"/>
    </row>
    <row r="47" spans="1:21" s="1" customFormat="1" ht="14.1" customHeight="1">
      <c r="A47" s="31" t="s">
        <v>105</v>
      </c>
      <c r="B47" s="31"/>
      <c r="C47" s="31"/>
      <c r="D47" s="31"/>
      <c r="E47" s="31"/>
      <c r="F47" s="31"/>
      <c r="G47" s="32" t="s">
        <v>81</v>
      </c>
      <c r="H47" s="32"/>
      <c r="I47" s="32" t="s">
        <v>103</v>
      </c>
      <c r="J47" s="32"/>
      <c r="K47" s="33" t="s">
        <v>106</v>
      </c>
      <c r="L47" s="33"/>
      <c r="M47" s="34">
        <f>571342.69</f>
        <v>571342.68999999994</v>
      </c>
      <c r="N47" s="34"/>
      <c r="O47" s="34">
        <f>347902.1</f>
        <v>347902.1</v>
      </c>
      <c r="P47" s="34"/>
      <c r="Q47" s="34"/>
      <c r="R47" s="34"/>
      <c r="S47" s="34"/>
      <c r="T47" s="35">
        <f>223440.59</f>
        <v>223440.59</v>
      </c>
      <c r="U47" s="35"/>
    </row>
    <row r="48" spans="1:21" s="1" customFormat="1" ht="14.1" customHeight="1">
      <c r="A48" s="31" t="s">
        <v>107</v>
      </c>
      <c r="B48" s="31"/>
      <c r="C48" s="31"/>
      <c r="D48" s="31"/>
      <c r="E48" s="31"/>
      <c r="F48" s="31"/>
      <c r="G48" s="32" t="s">
        <v>81</v>
      </c>
      <c r="H48" s="32"/>
      <c r="I48" s="32" t="s">
        <v>103</v>
      </c>
      <c r="J48" s="32"/>
      <c r="K48" s="33" t="s">
        <v>108</v>
      </c>
      <c r="L48" s="33"/>
      <c r="M48" s="34">
        <f>70000</f>
        <v>70000</v>
      </c>
      <c r="N48" s="34"/>
      <c r="O48" s="34">
        <f>55000</f>
        <v>55000</v>
      </c>
      <c r="P48" s="34"/>
      <c r="Q48" s="34"/>
      <c r="R48" s="34"/>
      <c r="S48" s="34"/>
      <c r="T48" s="35">
        <f>15000</f>
        <v>15000</v>
      </c>
      <c r="U48" s="35"/>
    </row>
    <row r="49" spans="1:21" s="1" customFormat="1" ht="14.1" customHeight="1">
      <c r="A49" s="31" t="s">
        <v>109</v>
      </c>
      <c r="B49" s="31"/>
      <c r="C49" s="31"/>
      <c r="D49" s="31"/>
      <c r="E49" s="31"/>
      <c r="F49" s="31"/>
      <c r="G49" s="32" t="s">
        <v>81</v>
      </c>
      <c r="H49" s="32"/>
      <c r="I49" s="32" t="s">
        <v>103</v>
      </c>
      <c r="J49" s="32"/>
      <c r="K49" s="33" t="s">
        <v>110</v>
      </c>
      <c r="L49" s="33"/>
      <c r="M49" s="34">
        <f>766200</f>
        <v>766200</v>
      </c>
      <c r="N49" s="34"/>
      <c r="O49" s="34">
        <f>724311.72</f>
        <v>724311.72</v>
      </c>
      <c r="P49" s="34"/>
      <c r="Q49" s="34"/>
      <c r="R49" s="34"/>
      <c r="S49" s="34"/>
      <c r="T49" s="35">
        <f>41888.28</f>
        <v>41888.28</v>
      </c>
      <c r="U49" s="35"/>
    </row>
    <row r="50" spans="1:21" s="1" customFormat="1" ht="14.1" customHeight="1">
      <c r="A50" s="31" t="s">
        <v>96</v>
      </c>
      <c r="B50" s="31"/>
      <c r="C50" s="31"/>
      <c r="D50" s="31"/>
      <c r="E50" s="31"/>
      <c r="F50" s="31"/>
      <c r="G50" s="32" t="s">
        <v>81</v>
      </c>
      <c r="H50" s="32"/>
      <c r="I50" s="32" t="s">
        <v>103</v>
      </c>
      <c r="J50" s="32"/>
      <c r="K50" s="33" t="s">
        <v>98</v>
      </c>
      <c r="L50" s="33"/>
      <c r="M50" s="34">
        <f>5000</f>
        <v>5000</v>
      </c>
      <c r="N50" s="34"/>
      <c r="O50" s="34">
        <f>5000</f>
        <v>5000</v>
      </c>
      <c r="P50" s="34"/>
      <c r="Q50" s="34"/>
      <c r="R50" s="34"/>
      <c r="S50" s="34"/>
      <c r="T50" s="35">
        <f>0</f>
        <v>0</v>
      </c>
      <c r="U50" s="35"/>
    </row>
    <row r="51" spans="1:21" s="1" customFormat="1" ht="14.1" customHeight="1">
      <c r="A51" s="31" t="s">
        <v>111</v>
      </c>
      <c r="B51" s="31"/>
      <c r="C51" s="31"/>
      <c r="D51" s="31"/>
      <c r="E51" s="31"/>
      <c r="F51" s="31"/>
      <c r="G51" s="32" t="s">
        <v>81</v>
      </c>
      <c r="H51" s="32"/>
      <c r="I51" s="32" t="s">
        <v>103</v>
      </c>
      <c r="J51" s="32"/>
      <c r="K51" s="33" t="s">
        <v>112</v>
      </c>
      <c r="L51" s="33"/>
      <c r="M51" s="34">
        <f>168000</f>
        <v>168000</v>
      </c>
      <c r="N51" s="34"/>
      <c r="O51" s="34">
        <f>6850</f>
        <v>6850</v>
      </c>
      <c r="P51" s="34"/>
      <c r="Q51" s="34"/>
      <c r="R51" s="34"/>
      <c r="S51" s="34"/>
      <c r="T51" s="35">
        <f>161150</f>
        <v>161150</v>
      </c>
      <c r="U51" s="35"/>
    </row>
    <row r="52" spans="1:21" s="1" customFormat="1" ht="14.1" customHeight="1">
      <c r="A52" s="31" t="s">
        <v>96</v>
      </c>
      <c r="B52" s="31"/>
      <c r="C52" s="31"/>
      <c r="D52" s="31"/>
      <c r="E52" s="31"/>
      <c r="F52" s="31"/>
      <c r="G52" s="32" t="s">
        <v>81</v>
      </c>
      <c r="H52" s="32"/>
      <c r="I52" s="32" t="s">
        <v>113</v>
      </c>
      <c r="J52" s="32"/>
      <c r="K52" s="33" t="s">
        <v>98</v>
      </c>
      <c r="L52" s="33"/>
      <c r="M52" s="34">
        <f>2000</f>
        <v>2000</v>
      </c>
      <c r="N52" s="34"/>
      <c r="O52" s="36" t="s">
        <v>41</v>
      </c>
      <c r="P52" s="36"/>
      <c r="Q52" s="36"/>
      <c r="R52" s="36"/>
      <c r="S52" s="36"/>
      <c r="T52" s="35">
        <f>2000</f>
        <v>2000</v>
      </c>
      <c r="U52" s="35"/>
    </row>
    <row r="53" spans="1:21" s="1" customFormat="1" ht="14.1" customHeight="1">
      <c r="A53" s="31" t="s">
        <v>96</v>
      </c>
      <c r="B53" s="31"/>
      <c r="C53" s="31"/>
      <c r="D53" s="31"/>
      <c r="E53" s="31"/>
      <c r="F53" s="31"/>
      <c r="G53" s="32" t="s">
        <v>81</v>
      </c>
      <c r="H53" s="32"/>
      <c r="I53" s="32" t="s">
        <v>114</v>
      </c>
      <c r="J53" s="32"/>
      <c r="K53" s="33" t="s">
        <v>98</v>
      </c>
      <c r="L53" s="33"/>
      <c r="M53" s="34">
        <f>13000</f>
        <v>13000</v>
      </c>
      <c r="N53" s="34"/>
      <c r="O53" s="34">
        <f>10311.64</f>
        <v>10311.64</v>
      </c>
      <c r="P53" s="34"/>
      <c r="Q53" s="34"/>
      <c r="R53" s="34"/>
      <c r="S53" s="34"/>
      <c r="T53" s="35">
        <f>2688.36</f>
        <v>2688.36</v>
      </c>
      <c r="U53" s="35"/>
    </row>
    <row r="54" spans="1:21" s="1" customFormat="1" ht="14.1" customHeight="1">
      <c r="A54" s="31" t="s">
        <v>96</v>
      </c>
      <c r="B54" s="31"/>
      <c r="C54" s="31"/>
      <c r="D54" s="31"/>
      <c r="E54" s="31"/>
      <c r="F54" s="31"/>
      <c r="G54" s="32" t="s">
        <v>81</v>
      </c>
      <c r="H54" s="32"/>
      <c r="I54" s="32" t="s">
        <v>115</v>
      </c>
      <c r="J54" s="32"/>
      <c r="K54" s="33" t="s">
        <v>98</v>
      </c>
      <c r="L54" s="33"/>
      <c r="M54" s="34">
        <f>25000</f>
        <v>25000</v>
      </c>
      <c r="N54" s="34"/>
      <c r="O54" s="34">
        <f>15000</f>
        <v>15000</v>
      </c>
      <c r="P54" s="34"/>
      <c r="Q54" s="34"/>
      <c r="R54" s="34"/>
      <c r="S54" s="34"/>
      <c r="T54" s="35">
        <f>10000</f>
        <v>10000</v>
      </c>
      <c r="U54" s="35"/>
    </row>
    <row r="55" spans="1:21" s="1" customFormat="1" ht="14.1" customHeight="1">
      <c r="A55" s="31" t="s">
        <v>82</v>
      </c>
      <c r="B55" s="31"/>
      <c r="C55" s="31"/>
      <c r="D55" s="31"/>
      <c r="E55" s="31"/>
      <c r="F55" s="31"/>
      <c r="G55" s="32" t="s">
        <v>81</v>
      </c>
      <c r="H55" s="32"/>
      <c r="I55" s="32" t="s">
        <v>116</v>
      </c>
      <c r="J55" s="32"/>
      <c r="K55" s="33" t="s">
        <v>84</v>
      </c>
      <c r="L55" s="33"/>
      <c r="M55" s="34">
        <f>140000</f>
        <v>140000</v>
      </c>
      <c r="N55" s="34"/>
      <c r="O55" s="34">
        <f>116160</f>
        <v>116160</v>
      </c>
      <c r="P55" s="34"/>
      <c r="Q55" s="34"/>
      <c r="R55" s="34"/>
      <c r="S55" s="34"/>
      <c r="T55" s="35">
        <f>23840</f>
        <v>23840</v>
      </c>
      <c r="U55" s="35"/>
    </row>
    <row r="56" spans="1:21" s="1" customFormat="1" ht="14.1" customHeight="1">
      <c r="A56" s="31" t="s">
        <v>85</v>
      </c>
      <c r="B56" s="31"/>
      <c r="C56" s="31"/>
      <c r="D56" s="31"/>
      <c r="E56" s="31"/>
      <c r="F56" s="31"/>
      <c r="G56" s="32" t="s">
        <v>81</v>
      </c>
      <c r="H56" s="32"/>
      <c r="I56" s="32" t="s">
        <v>117</v>
      </c>
      <c r="J56" s="32"/>
      <c r="K56" s="33" t="s">
        <v>87</v>
      </c>
      <c r="L56" s="33"/>
      <c r="M56" s="34">
        <f>44200</f>
        <v>44200</v>
      </c>
      <c r="N56" s="34"/>
      <c r="O56" s="34">
        <f>35472</f>
        <v>35472</v>
      </c>
      <c r="P56" s="34"/>
      <c r="Q56" s="34"/>
      <c r="R56" s="34"/>
      <c r="S56" s="34"/>
      <c r="T56" s="35">
        <f>8728</f>
        <v>8728</v>
      </c>
      <c r="U56" s="35"/>
    </row>
    <row r="57" spans="1:21" s="1" customFormat="1" ht="14.1" customHeight="1">
      <c r="A57" s="31" t="s">
        <v>111</v>
      </c>
      <c r="B57" s="31"/>
      <c r="C57" s="31"/>
      <c r="D57" s="31"/>
      <c r="E57" s="31"/>
      <c r="F57" s="31"/>
      <c r="G57" s="32" t="s">
        <v>81</v>
      </c>
      <c r="H57" s="32"/>
      <c r="I57" s="32" t="s">
        <v>118</v>
      </c>
      <c r="J57" s="32"/>
      <c r="K57" s="33" t="s">
        <v>112</v>
      </c>
      <c r="L57" s="33"/>
      <c r="M57" s="34">
        <f>5000</f>
        <v>5000</v>
      </c>
      <c r="N57" s="34"/>
      <c r="O57" s="34">
        <f>4900</f>
        <v>4900</v>
      </c>
      <c r="P57" s="34"/>
      <c r="Q57" s="34"/>
      <c r="R57" s="34"/>
      <c r="S57" s="34"/>
      <c r="T57" s="35">
        <f>100</f>
        <v>100</v>
      </c>
      <c r="U57" s="35"/>
    </row>
    <row r="58" spans="1:21" s="1" customFormat="1" ht="14.1" customHeight="1">
      <c r="A58" s="31" t="s">
        <v>82</v>
      </c>
      <c r="B58" s="31"/>
      <c r="C58" s="31"/>
      <c r="D58" s="31"/>
      <c r="E58" s="31"/>
      <c r="F58" s="31"/>
      <c r="G58" s="32" t="s">
        <v>81</v>
      </c>
      <c r="H58" s="32"/>
      <c r="I58" s="32" t="s">
        <v>119</v>
      </c>
      <c r="J58" s="32"/>
      <c r="K58" s="33" t="s">
        <v>84</v>
      </c>
      <c r="L58" s="33"/>
      <c r="M58" s="34">
        <f>13100</f>
        <v>13100</v>
      </c>
      <c r="N58" s="34"/>
      <c r="O58" s="34">
        <f>11005</f>
        <v>11005</v>
      </c>
      <c r="P58" s="34"/>
      <c r="Q58" s="34"/>
      <c r="R58" s="34"/>
      <c r="S58" s="34"/>
      <c r="T58" s="35">
        <f>2095</f>
        <v>2095</v>
      </c>
      <c r="U58" s="35"/>
    </row>
    <row r="59" spans="1:21" s="1" customFormat="1" ht="14.1" customHeight="1">
      <c r="A59" s="31" t="s">
        <v>85</v>
      </c>
      <c r="B59" s="31"/>
      <c r="C59" s="31"/>
      <c r="D59" s="31"/>
      <c r="E59" s="31"/>
      <c r="F59" s="31"/>
      <c r="G59" s="32" t="s">
        <v>81</v>
      </c>
      <c r="H59" s="32"/>
      <c r="I59" s="32" t="s">
        <v>120</v>
      </c>
      <c r="J59" s="32"/>
      <c r="K59" s="33" t="s">
        <v>87</v>
      </c>
      <c r="L59" s="33"/>
      <c r="M59" s="34">
        <f>4000</f>
        <v>4000</v>
      </c>
      <c r="N59" s="34"/>
      <c r="O59" s="34">
        <f>3495</f>
        <v>3495</v>
      </c>
      <c r="P59" s="34"/>
      <c r="Q59" s="34"/>
      <c r="R59" s="34"/>
      <c r="S59" s="34"/>
      <c r="T59" s="35">
        <f>505</f>
        <v>505</v>
      </c>
      <c r="U59" s="35"/>
    </row>
    <row r="60" spans="1:21" s="1" customFormat="1" ht="14.1" customHeight="1">
      <c r="A60" s="31" t="s">
        <v>111</v>
      </c>
      <c r="B60" s="31"/>
      <c r="C60" s="31"/>
      <c r="D60" s="31"/>
      <c r="E60" s="31"/>
      <c r="F60" s="31"/>
      <c r="G60" s="32" t="s">
        <v>81</v>
      </c>
      <c r="H60" s="32"/>
      <c r="I60" s="32" t="s">
        <v>121</v>
      </c>
      <c r="J60" s="32"/>
      <c r="K60" s="33" t="s">
        <v>112</v>
      </c>
      <c r="L60" s="33"/>
      <c r="M60" s="34">
        <f>2500</f>
        <v>2500</v>
      </c>
      <c r="N60" s="34"/>
      <c r="O60" s="34">
        <f>2500</f>
        <v>2500</v>
      </c>
      <c r="P60" s="34"/>
      <c r="Q60" s="34"/>
      <c r="R60" s="34"/>
      <c r="S60" s="34"/>
      <c r="T60" s="35">
        <f>0</f>
        <v>0</v>
      </c>
      <c r="U60" s="35"/>
    </row>
    <row r="61" spans="1:21" s="1" customFormat="1" ht="14.1" customHeight="1">
      <c r="A61" s="31" t="s">
        <v>111</v>
      </c>
      <c r="B61" s="31"/>
      <c r="C61" s="31"/>
      <c r="D61" s="31"/>
      <c r="E61" s="31"/>
      <c r="F61" s="31"/>
      <c r="G61" s="32" t="s">
        <v>81</v>
      </c>
      <c r="H61" s="32"/>
      <c r="I61" s="32" t="s">
        <v>122</v>
      </c>
      <c r="J61" s="32"/>
      <c r="K61" s="33" t="s">
        <v>112</v>
      </c>
      <c r="L61" s="33"/>
      <c r="M61" s="34">
        <f>6100</f>
        <v>6100</v>
      </c>
      <c r="N61" s="34"/>
      <c r="O61" s="34">
        <f>3200</f>
        <v>3200</v>
      </c>
      <c r="P61" s="34"/>
      <c r="Q61" s="34"/>
      <c r="R61" s="34"/>
      <c r="S61" s="34"/>
      <c r="T61" s="35">
        <f>2900</f>
        <v>2900</v>
      </c>
      <c r="U61" s="35"/>
    </row>
    <row r="62" spans="1:21" s="1" customFormat="1" ht="14.1" customHeight="1">
      <c r="A62" s="31" t="s">
        <v>109</v>
      </c>
      <c r="B62" s="31"/>
      <c r="C62" s="31"/>
      <c r="D62" s="31"/>
      <c r="E62" s="31"/>
      <c r="F62" s="31"/>
      <c r="G62" s="32" t="s">
        <v>81</v>
      </c>
      <c r="H62" s="32"/>
      <c r="I62" s="32" t="s">
        <v>123</v>
      </c>
      <c r="J62" s="32"/>
      <c r="K62" s="33" t="s">
        <v>110</v>
      </c>
      <c r="L62" s="33"/>
      <c r="M62" s="34">
        <f>1600</f>
        <v>1600</v>
      </c>
      <c r="N62" s="34"/>
      <c r="O62" s="36" t="s">
        <v>41</v>
      </c>
      <c r="P62" s="36"/>
      <c r="Q62" s="36"/>
      <c r="R62" s="36"/>
      <c r="S62" s="36"/>
      <c r="T62" s="35">
        <f>1600</f>
        <v>1600</v>
      </c>
      <c r="U62" s="35"/>
    </row>
    <row r="63" spans="1:21" s="1" customFormat="1" ht="14.1" customHeight="1">
      <c r="A63" s="31" t="s">
        <v>109</v>
      </c>
      <c r="B63" s="31"/>
      <c r="C63" s="31"/>
      <c r="D63" s="31"/>
      <c r="E63" s="31"/>
      <c r="F63" s="31"/>
      <c r="G63" s="32" t="s">
        <v>81</v>
      </c>
      <c r="H63" s="32"/>
      <c r="I63" s="32" t="s">
        <v>124</v>
      </c>
      <c r="J63" s="32"/>
      <c r="K63" s="33" t="s">
        <v>110</v>
      </c>
      <c r="L63" s="33"/>
      <c r="M63" s="34">
        <f>205072</f>
        <v>205072</v>
      </c>
      <c r="N63" s="34"/>
      <c r="O63" s="34">
        <f>118840.81</f>
        <v>118840.81</v>
      </c>
      <c r="P63" s="34"/>
      <c r="Q63" s="34"/>
      <c r="R63" s="34"/>
      <c r="S63" s="34"/>
      <c r="T63" s="35">
        <f>86231.19</f>
        <v>86231.19</v>
      </c>
      <c r="U63" s="35"/>
    </row>
    <row r="64" spans="1:21" s="1" customFormat="1" ht="14.1" customHeight="1">
      <c r="A64" s="31" t="s">
        <v>109</v>
      </c>
      <c r="B64" s="31"/>
      <c r="C64" s="31"/>
      <c r="D64" s="31"/>
      <c r="E64" s="31"/>
      <c r="F64" s="31"/>
      <c r="G64" s="32" t="s">
        <v>81</v>
      </c>
      <c r="H64" s="32"/>
      <c r="I64" s="32" t="s">
        <v>125</v>
      </c>
      <c r="J64" s="32"/>
      <c r="K64" s="33" t="s">
        <v>110</v>
      </c>
      <c r="L64" s="33"/>
      <c r="M64" s="34">
        <f>610896</f>
        <v>610896</v>
      </c>
      <c r="N64" s="34"/>
      <c r="O64" s="34">
        <f>166551.52</f>
        <v>166551.51999999999</v>
      </c>
      <c r="P64" s="34"/>
      <c r="Q64" s="34"/>
      <c r="R64" s="34"/>
      <c r="S64" s="34"/>
      <c r="T64" s="35">
        <f>444344.48</f>
        <v>444344.48</v>
      </c>
      <c r="U64" s="35"/>
    </row>
    <row r="65" spans="1:21" s="1" customFormat="1" ht="14.1" customHeight="1">
      <c r="A65" s="31" t="s">
        <v>107</v>
      </c>
      <c r="B65" s="31"/>
      <c r="C65" s="31"/>
      <c r="D65" s="31"/>
      <c r="E65" s="31"/>
      <c r="F65" s="31"/>
      <c r="G65" s="32" t="s">
        <v>81</v>
      </c>
      <c r="H65" s="32"/>
      <c r="I65" s="32" t="s">
        <v>126</v>
      </c>
      <c r="J65" s="32"/>
      <c r="K65" s="33" t="s">
        <v>108</v>
      </c>
      <c r="L65" s="33"/>
      <c r="M65" s="34">
        <f>1100721.44</f>
        <v>1100721.44</v>
      </c>
      <c r="N65" s="34"/>
      <c r="O65" s="34">
        <f>953822.01</f>
        <v>953822.01</v>
      </c>
      <c r="P65" s="34"/>
      <c r="Q65" s="34"/>
      <c r="R65" s="34"/>
      <c r="S65" s="34"/>
      <c r="T65" s="35">
        <f>146899.43</f>
        <v>146899.43</v>
      </c>
      <c r="U65" s="35"/>
    </row>
    <row r="66" spans="1:21" s="1" customFormat="1" ht="14.1" customHeight="1">
      <c r="A66" s="31" t="s">
        <v>93</v>
      </c>
      <c r="B66" s="31"/>
      <c r="C66" s="31"/>
      <c r="D66" s="31"/>
      <c r="E66" s="31"/>
      <c r="F66" s="31"/>
      <c r="G66" s="32" t="s">
        <v>81</v>
      </c>
      <c r="H66" s="32"/>
      <c r="I66" s="32" t="s">
        <v>127</v>
      </c>
      <c r="J66" s="32"/>
      <c r="K66" s="33" t="s">
        <v>95</v>
      </c>
      <c r="L66" s="33"/>
      <c r="M66" s="34">
        <f>3366000</f>
        <v>3366000</v>
      </c>
      <c r="N66" s="34"/>
      <c r="O66" s="36" t="s">
        <v>41</v>
      </c>
      <c r="P66" s="36"/>
      <c r="Q66" s="36"/>
      <c r="R66" s="36"/>
      <c r="S66" s="36"/>
      <c r="T66" s="35">
        <f>3366000</f>
        <v>3366000</v>
      </c>
      <c r="U66" s="35"/>
    </row>
    <row r="67" spans="1:21" s="1" customFormat="1" ht="14.1" customHeight="1">
      <c r="A67" s="31" t="s">
        <v>102</v>
      </c>
      <c r="B67" s="31"/>
      <c r="C67" s="31"/>
      <c r="D67" s="31"/>
      <c r="E67" s="31"/>
      <c r="F67" s="31"/>
      <c r="G67" s="32" t="s">
        <v>81</v>
      </c>
      <c r="H67" s="32"/>
      <c r="I67" s="32" t="s">
        <v>128</v>
      </c>
      <c r="J67" s="32"/>
      <c r="K67" s="33" t="s">
        <v>104</v>
      </c>
      <c r="L67" s="33"/>
      <c r="M67" s="34">
        <f>500000</f>
        <v>500000</v>
      </c>
      <c r="N67" s="34"/>
      <c r="O67" s="34">
        <f>348926.31</f>
        <v>348926.31</v>
      </c>
      <c r="P67" s="34"/>
      <c r="Q67" s="34"/>
      <c r="R67" s="34"/>
      <c r="S67" s="34"/>
      <c r="T67" s="35">
        <f>151073.69</f>
        <v>151073.69</v>
      </c>
      <c r="U67" s="35"/>
    </row>
    <row r="68" spans="1:21" s="1" customFormat="1" ht="14.1" customHeight="1">
      <c r="A68" s="31" t="s">
        <v>107</v>
      </c>
      <c r="B68" s="31"/>
      <c r="C68" s="31"/>
      <c r="D68" s="31"/>
      <c r="E68" s="31"/>
      <c r="F68" s="31"/>
      <c r="G68" s="32" t="s">
        <v>81</v>
      </c>
      <c r="H68" s="32"/>
      <c r="I68" s="32" t="s">
        <v>128</v>
      </c>
      <c r="J68" s="32"/>
      <c r="K68" s="33" t="s">
        <v>108</v>
      </c>
      <c r="L68" s="33"/>
      <c r="M68" s="34">
        <f>30000</f>
        <v>30000</v>
      </c>
      <c r="N68" s="34"/>
      <c r="O68" s="34">
        <f>22480</f>
        <v>22480</v>
      </c>
      <c r="P68" s="34"/>
      <c r="Q68" s="34"/>
      <c r="R68" s="34"/>
      <c r="S68" s="34"/>
      <c r="T68" s="35">
        <f>7520</f>
        <v>7520</v>
      </c>
      <c r="U68" s="35"/>
    </row>
    <row r="69" spans="1:21" s="1" customFormat="1" ht="14.1" customHeight="1">
      <c r="A69" s="31" t="s">
        <v>109</v>
      </c>
      <c r="B69" s="31"/>
      <c r="C69" s="31"/>
      <c r="D69" s="31"/>
      <c r="E69" s="31"/>
      <c r="F69" s="31"/>
      <c r="G69" s="32" t="s">
        <v>81</v>
      </c>
      <c r="H69" s="32"/>
      <c r="I69" s="32" t="s">
        <v>128</v>
      </c>
      <c r="J69" s="32"/>
      <c r="K69" s="33" t="s">
        <v>110</v>
      </c>
      <c r="L69" s="33"/>
      <c r="M69" s="34">
        <f>190000</f>
        <v>190000</v>
      </c>
      <c r="N69" s="34"/>
      <c r="O69" s="34">
        <f>146401</f>
        <v>146401</v>
      </c>
      <c r="P69" s="34"/>
      <c r="Q69" s="34"/>
      <c r="R69" s="34"/>
      <c r="S69" s="34"/>
      <c r="T69" s="35">
        <f>43599</f>
        <v>43599</v>
      </c>
      <c r="U69" s="35"/>
    </row>
    <row r="70" spans="1:21" s="1" customFormat="1" ht="14.1" customHeight="1">
      <c r="A70" s="31" t="s">
        <v>129</v>
      </c>
      <c r="B70" s="31"/>
      <c r="C70" s="31"/>
      <c r="D70" s="31"/>
      <c r="E70" s="31"/>
      <c r="F70" s="31"/>
      <c r="G70" s="32" t="s">
        <v>81</v>
      </c>
      <c r="H70" s="32"/>
      <c r="I70" s="32" t="s">
        <v>128</v>
      </c>
      <c r="J70" s="32"/>
      <c r="K70" s="33" t="s">
        <v>130</v>
      </c>
      <c r="L70" s="33"/>
      <c r="M70" s="34">
        <f>80000</f>
        <v>80000</v>
      </c>
      <c r="N70" s="34"/>
      <c r="O70" s="34">
        <f>79040</f>
        <v>79040</v>
      </c>
      <c r="P70" s="34"/>
      <c r="Q70" s="34"/>
      <c r="R70" s="34"/>
      <c r="S70" s="34"/>
      <c r="T70" s="35">
        <f>960</f>
        <v>960</v>
      </c>
      <c r="U70" s="35"/>
    </row>
    <row r="71" spans="1:21" s="1" customFormat="1" ht="14.1" customHeight="1">
      <c r="A71" s="31" t="s">
        <v>111</v>
      </c>
      <c r="B71" s="31"/>
      <c r="C71" s="31"/>
      <c r="D71" s="31"/>
      <c r="E71" s="31"/>
      <c r="F71" s="31"/>
      <c r="G71" s="32" t="s">
        <v>81</v>
      </c>
      <c r="H71" s="32"/>
      <c r="I71" s="32" t="s">
        <v>128</v>
      </c>
      <c r="J71" s="32"/>
      <c r="K71" s="33" t="s">
        <v>112</v>
      </c>
      <c r="L71" s="33"/>
      <c r="M71" s="34">
        <f>25000</f>
        <v>25000</v>
      </c>
      <c r="N71" s="34"/>
      <c r="O71" s="34">
        <f>15915</f>
        <v>15915</v>
      </c>
      <c r="P71" s="34"/>
      <c r="Q71" s="34"/>
      <c r="R71" s="34"/>
      <c r="S71" s="34"/>
      <c r="T71" s="35">
        <f>9085</f>
        <v>9085</v>
      </c>
      <c r="U71" s="35"/>
    </row>
    <row r="72" spans="1:21" s="1" customFormat="1" ht="14.1" customHeight="1">
      <c r="A72" s="31" t="s">
        <v>93</v>
      </c>
      <c r="B72" s="31"/>
      <c r="C72" s="31"/>
      <c r="D72" s="31"/>
      <c r="E72" s="31"/>
      <c r="F72" s="31"/>
      <c r="G72" s="32" t="s">
        <v>81</v>
      </c>
      <c r="H72" s="32"/>
      <c r="I72" s="32" t="s">
        <v>131</v>
      </c>
      <c r="J72" s="32"/>
      <c r="K72" s="33" t="s">
        <v>95</v>
      </c>
      <c r="L72" s="33"/>
      <c r="M72" s="34">
        <f>100000</f>
        <v>100000</v>
      </c>
      <c r="N72" s="34"/>
      <c r="O72" s="34">
        <f>100000</f>
        <v>100000</v>
      </c>
      <c r="P72" s="34"/>
      <c r="Q72" s="34"/>
      <c r="R72" s="34"/>
      <c r="S72" s="34"/>
      <c r="T72" s="35">
        <f>0</f>
        <v>0</v>
      </c>
      <c r="U72" s="35"/>
    </row>
    <row r="73" spans="1:21" s="1" customFormat="1" ht="14.1" customHeight="1">
      <c r="A73" s="31" t="s">
        <v>93</v>
      </c>
      <c r="B73" s="31"/>
      <c r="C73" s="31"/>
      <c r="D73" s="31"/>
      <c r="E73" s="31"/>
      <c r="F73" s="31"/>
      <c r="G73" s="32" t="s">
        <v>81</v>
      </c>
      <c r="H73" s="32"/>
      <c r="I73" s="32" t="s">
        <v>132</v>
      </c>
      <c r="J73" s="32"/>
      <c r="K73" s="33" t="s">
        <v>95</v>
      </c>
      <c r="L73" s="33"/>
      <c r="M73" s="34">
        <f>13908600</f>
        <v>13908600</v>
      </c>
      <c r="N73" s="34"/>
      <c r="O73" s="34">
        <f>8007992.79</f>
        <v>8007992.79</v>
      </c>
      <c r="P73" s="34"/>
      <c r="Q73" s="34"/>
      <c r="R73" s="34"/>
      <c r="S73" s="34"/>
      <c r="T73" s="35">
        <f>5900607.21</f>
        <v>5900607.21</v>
      </c>
      <c r="U73" s="35"/>
    </row>
    <row r="74" spans="1:21" s="1" customFormat="1" ht="14.1" customHeight="1">
      <c r="A74" s="31" t="s">
        <v>93</v>
      </c>
      <c r="B74" s="31"/>
      <c r="C74" s="31"/>
      <c r="D74" s="31"/>
      <c r="E74" s="31"/>
      <c r="F74" s="31"/>
      <c r="G74" s="32" t="s">
        <v>81</v>
      </c>
      <c r="H74" s="32"/>
      <c r="I74" s="32" t="s">
        <v>133</v>
      </c>
      <c r="J74" s="32"/>
      <c r="K74" s="33" t="s">
        <v>95</v>
      </c>
      <c r="L74" s="33"/>
      <c r="M74" s="34">
        <f>9272400</f>
        <v>9272400</v>
      </c>
      <c r="N74" s="34"/>
      <c r="O74" s="34">
        <f>5338662.19</f>
        <v>5338662.1900000004</v>
      </c>
      <c r="P74" s="34"/>
      <c r="Q74" s="34"/>
      <c r="R74" s="34"/>
      <c r="S74" s="34"/>
      <c r="T74" s="35">
        <f>3933737.81</f>
        <v>3933737.81</v>
      </c>
      <c r="U74" s="35"/>
    </row>
    <row r="75" spans="1:21" s="1" customFormat="1" ht="14.1" customHeight="1">
      <c r="A75" s="31" t="s">
        <v>105</v>
      </c>
      <c r="B75" s="31"/>
      <c r="C75" s="31"/>
      <c r="D75" s="31"/>
      <c r="E75" s="31"/>
      <c r="F75" s="31"/>
      <c r="G75" s="32" t="s">
        <v>81</v>
      </c>
      <c r="H75" s="32"/>
      <c r="I75" s="32" t="s">
        <v>134</v>
      </c>
      <c r="J75" s="32"/>
      <c r="K75" s="33" t="s">
        <v>106</v>
      </c>
      <c r="L75" s="33"/>
      <c r="M75" s="34">
        <f>240000</f>
        <v>240000</v>
      </c>
      <c r="N75" s="34"/>
      <c r="O75" s="34">
        <f>129290.49</f>
        <v>129290.49</v>
      </c>
      <c r="P75" s="34"/>
      <c r="Q75" s="34"/>
      <c r="R75" s="34"/>
      <c r="S75" s="34"/>
      <c r="T75" s="35">
        <f>110709.51</f>
        <v>110709.51</v>
      </c>
      <c r="U75" s="35"/>
    </row>
    <row r="76" spans="1:21" s="1" customFormat="1" ht="14.1" customHeight="1">
      <c r="A76" s="31" t="s">
        <v>107</v>
      </c>
      <c r="B76" s="31"/>
      <c r="C76" s="31"/>
      <c r="D76" s="31"/>
      <c r="E76" s="31"/>
      <c r="F76" s="31"/>
      <c r="G76" s="32" t="s">
        <v>81</v>
      </c>
      <c r="H76" s="32"/>
      <c r="I76" s="32" t="s">
        <v>134</v>
      </c>
      <c r="J76" s="32"/>
      <c r="K76" s="33" t="s">
        <v>108</v>
      </c>
      <c r="L76" s="33"/>
      <c r="M76" s="34">
        <f>130000</f>
        <v>130000</v>
      </c>
      <c r="N76" s="34"/>
      <c r="O76" s="34">
        <f>13822.01</f>
        <v>13822.01</v>
      </c>
      <c r="P76" s="34"/>
      <c r="Q76" s="34"/>
      <c r="R76" s="34"/>
      <c r="S76" s="34"/>
      <c r="T76" s="35">
        <f>116177.99</f>
        <v>116177.99</v>
      </c>
      <c r="U76" s="35"/>
    </row>
    <row r="77" spans="1:21" s="1" customFormat="1" ht="14.1" customHeight="1">
      <c r="A77" s="31" t="s">
        <v>107</v>
      </c>
      <c r="B77" s="31"/>
      <c r="C77" s="31"/>
      <c r="D77" s="31"/>
      <c r="E77" s="31"/>
      <c r="F77" s="31"/>
      <c r="G77" s="32" t="s">
        <v>81</v>
      </c>
      <c r="H77" s="32"/>
      <c r="I77" s="32" t="s">
        <v>135</v>
      </c>
      <c r="J77" s="32"/>
      <c r="K77" s="33" t="s">
        <v>108</v>
      </c>
      <c r="L77" s="33"/>
      <c r="M77" s="34">
        <f>50000</f>
        <v>50000</v>
      </c>
      <c r="N77" s="34"/>
      <c r="O77" s="34">
        <f>49522.62</f>
        <v>49522.62</v>
      </c>
      <c r="P77" s="34"/>
      <c r="Q77" s="34"/>
      <c r="R77" s="34"/>
      <c r="S77" s="34"/>
      <c r="T77" s="35">
        <f>477.38</f>
        <v>477.38</v>
      </c>
      <c r="U77" s="35"/>
    </row>
    <row r="78" spans="1:21" s="1" customFormat="1" ht="14.1" customHeight="1">
      <c r="A78" s="31" t="s">
        <v>107</v>
      </c>
      <c r="B78" s="31"/>
      <c r="C78" s="31"/>
      <c r="D78" s="31"/>
      <c r="E78" s="31"/>
      <c r="F78" s="31"/>
      <c r="G78" s="32" t="s">
        <v>81</v>
      </c>
      <c r="H78" s="32"/>
      <c r="I78" s="32" t="s">
        <v>136</v>
      </c>
      <c r="J78" s="32"/>
      <c r="K78" s="33" t="s">
        <v>108</v>
      </c>
      <c r="L78" s="33"/>
      <c r="M78" s="34">
        <f>1981000</f>
        <v>1981000</v>
      </c>
      <c r="N78" s="34"/>
      <c r="O78" s="34">
        <f>1164381.47</f>
        <v>1164381.47</v>
      </c>
      <c r="P78" s="34"/>
      <c r="Q78" s="34"/>
      <c r="R78" s="34"/>
      <c r="S78" s="34"/>
      <c r="T78" s="35">
        <f>816618.53</f>
        <v>816618.53</v>
      </c>
      <c r="U78" s="35"/>
    </row>
    <row r="79" spans="1:21" s="1" customFormat="1" ht="14.1" customHeight="1">
      <c r="A79" s="31" t="s">
        <v>109</v>
      </c>
      <c r="B79" s="31"/>
      <c r="C79" s="31"/>
      <c r="D79" s="31"/>
      <c r="E79" s="31"/>
      <c r="F79" s="31"/>
      <c r="G79" s="32" t="s">
        <v>81</v>
      </c>
      <c r="H79" s="32"/>
      <c r="I79" s="32" t="s">
        <v>136</v>
      </c>
      <c r="J79" s="32"/>
      <c r="K79" s="33" t="s">
        <v>110</v>
      </c>
      <c r="L79" s="33"/>
      <c r="M79" s="34">
        <f>18315.1</f>
        <v>18315.099999999999</v>
      </c>
      <c r="N79" s="34"/>
      <c r="O79" s="34">
        <f>18315.1</f>
        <v>18315.099999999999</v>
      </c>
      <c r="P79" s="34"/>
      <c r="Q79" s="34"/>
      <c r="R79" s="34"/>
      <c r="S79" s="34"/>
      <c r="T79" s="35">
        <f>0</f>
        <v>0</v>
      </c>
      <c r="U79" s="35"/>
    </row>
    <row r="80" spans="1:21" s="1" customFormat="1" ht="14.1" customHeight="1">
      <c r="A80" s="31" t="s">
        <v>93</v>
      </c>
      <c r="B80" s="31"/>
      <c r="C80" s="31"/>
      <c r="D80" s="31"/>
      <c r="E80" s="31"/>
      <c r="F80" s="31"/>
      <c r="G80" s="32" t="s">
        <v>81</v>
      </c>
      <c r="H80" s="32"/>
      <c r="I80" s="32" t="s">
        <v>137</v>
      </c>
      <c r="J80" s="32"/>
      <c r="K80" s="33" t="s">
        <v>95</v>
      </c>
      <c r="L80" s="33"/>
      <c r="M80" s="34">
        <f>134503</f>
        <v>134503</v>
      </c>
      <c r="N80" s="34"/>
      <c r="O80" s="34">
        <f>134503</f>
        <v>134503</v>
      </c>
      <c r="P80" s="34"/>
      <c r="Q80" s="34"/>
      <c r="R80" s="34"/>
      <c r="S80" s="34"/>
      <c r="T80" s="35">
        <f>0</f>
        <v>0</v>
      </c>
      <c r="U80" s="35"/>
    </row>
    <row r="81" spans="1:21" s="1" customFormat="1" ht="14.1" customHeight="1">
      <c r="A81" s="31" t="s">
        <v>82</v>
      </c>
      <c r="B81" s="31"/>
      <c r="C81" s="31"/>
      <c r="D81" s="31"/>
      <c r="E81" s="31"/>
      <c r="F81" s="31"/>
      <c r="G81" s="32" t="s">
        <v>81</v>
      </c>
      <c r="H81" s="32"/>
      <c r="I81" s="32" t="s">
        <v>138</v>
      </c>
      <c r="J81" s="32"/>
      <c r="K81" s="33" t="s">
        <v>84</v>
      </c>
      <c r="L81" s="33"/>
      <c r="M81" s="34">
        <f>214000</f>
        <v>214000</v>
      </c>
      <c r="N81" s="34"/>
      <c r="O81" s="34">
        <f>148610.32</f>
        <v>148610.32</v>
      </c>
      <c r="P81" s="34"/>
      <c r="Q81" s="34"/>
      <c r="R81" s="34"/>
      <c r="S81" s="34"/>
      <c r="T81" s="35">
        <f>65389.68</f>
        <v>65389.68</v>
      </c>
      <c r="U81" s="35"/>
    </row>
    <row r="82" spans="1:21" s="1" customFormat="1" ht="14.1" customHeight="1">
      <c r="A82" s="31" t="s">
        <v>89</v>
      </c>
      <c r="B82" s="31"/>
      <c r="C82" s="31"/>
      <c r="D82" s="31"/>
      <c r="E82" s="31"/>
      <c r="F82" s="31"/>
      <c r="G82" s="32" t="s">
        <v>81</v>
      </c>
      <c r="H82" s="32"/>
      <c r="I82" s="32" t="s">
        <v>139</v>
      </c>
      <c r="J82" s="32"/>
      <c r="K82" s="33" t="s">
        <v>91</v>
      </c>
      <c r="L82" s="33"/>
      <c r="M82" s="34">
        <f>8000</f>
        <v>8000</v>
      </c>
      <c r="N82" s="34"/>
      <c r="O82" s="36" t="s">
        <v>41</v>
      </c>
      <c r="P82" s="36"/>
      <c r="Q82" s="36"/>
      <c r="R82" s="36"/>
      <c r="S82" s="36"/>
      <c r="T82" s="35">
        <f>8000</f>
        <v>8000</v>
      </c>
      <c r="U82" s="35"/>
    </row>
    <row r="83" spans="1:21" s="1" customFormat="1" ht="14.1" customHeight="1">
      <c r="A83" s="31" t="s">
        <v>85</v>
      </c>
      <c r="B83" s="31"/>
      <c r="C83" s="31"/>
      <c r="D83" s="31"/>
      <c r="E83" s="31"/>
      <c r="F83" s="31"/>
      <c r="G83" s="32" t="s">
        <v>81</v>
      </c>
      <c r="H83" s="32"/>
      <c r="I83" s="32" t="s">
        <v>140</v>
      </c>
      <c r="J83" s="32"/>
      <c r="K83" s="33" t="s">
        <v>87</v>
      </c>
      <c r="L83" s="33"/>
      <c r="M83" s="34">
        <f>65000</f>
        <v>65000</v>
      </c>
      <c r="N83" s="34"/>
      <c r="O83" s="34">
        <f>62649.02</f>
        <v>62649.02</v>
      </c>
      <c r="P83" s="34"/>
      <c r="Q83" s="34"/>
      <c r="R83" s="34"/>
      <c r="S83" s="34"/>
      <c r="T83" s="35">
        <f>2350.98</f>
        <v>2350.98</v>
      </c>
      <c r="U83" s="35"/>
    </row>
    <row r="84" spans="1:21" s="1" customFormat="1" ht="14.1" customHeight="1">
      <c r="A84" s="31" t="s">
        <v>111</v>
      </c>
      <c r="B84" s="31"/>
      <c r="C84" s="31"/>
      <c r="D84" s="31"/>
      <c r="E84" s="31"/>
      <c r="F84" s="31"/>
      <c r="G84" s="32" t="s">
        <v>81</v>
      </c>
      <c r="H84" s="32"/>
      <c r="I84" s="32" t="s">
        <v>141</v>
      </c>
      <c r="J84" s="32"/>
      <c r="K84" s="33" t="s">
        <v>112</v>
      </c>
      <c r="L84" s="33"/>
      <c r="M84" s="34">
        <f>12000</f>
        <v>12000</v>
      </c>
      <c r="N84" s="34"/>
      <c r="O84" s="34">
        <f>11960</f>
        <v>11960</v>
      </c>
      <c r="P84" s="34"/>
      <c r="Q84" s="34"/>
      <c r="R84" s="34"/>
      <c r="S84" s="34"/>
      <c r="T84" s="35">
        <f>40</f>
        <v>40</v>
      </c>
      <c r="U84" s="35"/>
    </row>
    <row r="85" spans="1:21" s="1" customFormat="1" ht="14.1" customHeight="1">
      <c r="A85" s="31" t="s">
        <v>82</v>
      </c>
      <c r="B85" s="31"/>
      <c r="C85" s="31"/>
      <c r="D85" s="31"/>
      <c r="E85" s="31"/>
      <c r="F85" s="31"/>
      <c r="G85" s="32" t="s">
        <v>81</v>
      </c>
      <c r="H85" s="32"/>
      <c r="I85" s="32" t="s">
        <v>142</v>
      </c>
      <c r="J85" s="32"/>
      <c r="K85" s="33" t="s">
        <v>84</v>
      </c>
      <c r="L85" s="33"/>
      <c r="M85" s="34">
        <f>2050962</f>
        <v>2050962</v>
      </c>
      <c r="N85" s="34"/>
      <c r="O85" s="34">
        <f>1335684.62</f>
        <v>1335684.6200000001</v>
      </c>
      <c r="P85" s="34"/>
      <c r="Q85" s="34"/>
      <c r="R85" s="34"/>
      <c r="S85" s="34"/>
      <c r="T85" s="35">
        <f>715277.38</f>
        <v>715277.38</v>
      </c>
      <c r="U85" s="35"/>
    </row>
    <row r="86" spans="1:21" s="1" customFormat="1" ht="14.1" customHeight="1">
      <c r="A86" s="31" t="s">
        <v>89</v>
      </c>
      <c r="B86" s="31"/>
      <c r="C86" s="31"/>
      <c r="D86" s="31"/>
      <c r="E86" s="31"/>
      <c r="F86" s="31"/>
      <c r="G86" s="32" t="s">
        <v>81</v>
      </c>
      <c r="H86" s="32"/>
      <c r="I86" s="32" t="s">
        <v>143</v>
      </c>
      <c r="J86" s="32"/>
      <c r="K86" s="33" t="s">
        <v>91</v>
      </c>
      <c r="L86" s="33"/>
      <c r="M86" s="34">
        <f>46740</f>
        <v>46740</v>
      </c>
      <c r="N86" s="34"/>
      <c r="O86" s="34">
        <f>5952</f>
        <v>5952</v>
      </c>
      <c r="P86" s="34"/>
      <c r="Q86" s="34"/>
      <c r="R86" s="34"/>
      <c r="S86" s="34"/>
      <c r="T86" s="35">
        <f>40788</f>
        <v>40788</v>
      </c>
      <c r="U86" s="35"/>
    </row>
    <row r="87" spans="1:21" s="1" customFormat="1" ht="14.1" customHeight="1">
      <c r="A87" s="31" t="s">
        <v>100</v>
      </c>
      <c r="B87" s="31"/>
      <c r="C87" s="31"/>
      <c r="D87" s="31"/>
      <c r="E87" s="31"/>
      <c r="F87" s="31"/>
      <c r="G87" s="32" t="s">
        <v>81</v>
      </c>
      <c r="H87" s="32"/>
      <c r="I87" s="32" t="s">
        <v>143</v>
      </c>
      <c r="J87" s="32"/>
      <c r="K87" s="33" t="s">
        <v>101</v>
      </c>
      <c r="L87" s="33"/>
      <c r="M87" s="34">
        <f>3260</f>
        <v>3260</v>
      </c>
      <c r="N87" s="34"/>
      <c r="O87" s="34">
        <f>3260</f>
        <v>3260</v>
      </c>
      <c r="P87" s="34"/>
      <c r="Q87" s="34"/>
      <c r="R87" s="34"/>
      <c r="S87" s="34"/>
      <c r="T87" s="35">
        <f>0</f>
        <v>0</v>
      </c>
      <c r="U87" s="35"/>
    </row>
    <row r="88" spans="1:21" s="1" customFormat="1" ht="14.1" customHeight="1">
      <c r="A88" s="31" t="s">
        <v>85</v>
      </c>
      <c r="B88" s="31"/>
      <c r="C88" s="31"/>
      <c r="D88" s="31"/>
      <c r="E88" s="31"/>
      <c r="F88" s="31"/>
      <c r="G88" s="32" t="s">
        <v>81</v>
      </c>
      <c r="H88" s="32"/>
      <c r="I88" s="32" t="s">
        <v>144</v>
      </c>
      <c r="J88" s="32"/>
      <c r="K88" s="33" t="s">
        <v>87</v>
      </c>
      <c r="L88" s="33"/>
      <c r="M88" s="34">
        <f>619338</f>
        <v>619338</v>
      </c>
      <c r="N88" s="34"/>
      <c r="O88" s="34">
        <f>395698.06</f>
        <v>395698.06</v>
      </c>
      <c r="P88" s="34"/>
      <c r="Q88" s="34"/>
      <c r="R88" s="34"/>
      <c r="S88" s="34"/>
      <c r="T88" s="35">
        <f>223639.94</f>
        <v>223639.94</v>
      </c>
      <c r="U88" s="35"/>
    </row>
    <row r="89" spans="1:21" s="1" customFormat="1" ht="14.1" customHeight="1">
      <c r="A89" s="31" t="s">
        <v>102</v>
      </c>
      <c r="B89" s="31"/>
      <c r="C89" s="31"/>
      <c r="D89" s="31"/>
      <c r="E89" s="31"/>
      <c r="F89" s="31"/>
      <c r="G89" s="32" t="s">
        <v>81</v>
      </c>
      <c r="H89" s="32"/>
      <c r="I89" s="32" t="s">
        <v>145</v>
      </c>
      <c r="J89" s="32"/>
      <c r="K89" s="33" t="s">
        <v>104</v>
      </c>
      <c r="L89" s="33"/>
      <c r="M89" s="34">
        <f>8000</f>
        <v>8000</v>
      </c>
      <c r="N89" s="34"/>
      <c r="O89" s="34">
        <f>3856.2</f>
        <v>3856.2</v>
      </c>
      <c r="P89" s="34"/>
      <c r="Q89" s="34"/>
      <c r="R89" s="34"/>
      <c r="S89" s="34"/>
      <c r="T89" s="35">
        <f>4143.8</f>
        <v>4143.8</v>
      </c>
      <c r="U89" s="35"/>
    </row>
    <row r="90" spans="1:21" s="1" customFormat="1" ht="14.1" customHeight="1">
      <c r="A90" s="31" t="s">
        <v>107</v>
      </c>
      <c r="B90" s="31"/>
      <c r="C90" s="31"/>
      <c r="D90" s="31"/>
      <c r="E90" s="31"/>
      <c r="F90" s="31"/>
      <c r="G90" s="32" t="s">
        <v>81</v>
      </c>
      <c r="H90" s="32"/>
      <c r="I90" s="32" t="s">
        <v>145</v>
      </c>
      <c r="J90" s="32"/>
      <c r="K90" s="33" t="s">
        <v>108</v>
      </c>
      <c r="L90" s="33"/>
      <c r="M90" s="34">
        <f>2000</f>
        <v>2000</v>
      </c>
      <c r="N90" s="34"/>
      <c r="O90" s="34">
        <f>1400</f>
        <v>1400</v>
      </c>
      <c r="P90" s="34"/>
      <c r="Q90" s="34"/>
      <c r="R90" s="34"/>
      <c r="S90" s="34"/>
      <c r="T90" s="35">
        <f>600</f>
        <v>600</v>
      </c>
      <c r="U90" s="35"/>
    </row>
    <row r="91" spans="1:21" s="1" customFormat="1" ht="14.1" customHeight="1">
      <c r="A91" s="31" t="s">
        <v>111</v>
      </c>
      <c r="B91" s="31"/>
      <c r="C91" s="31"/>
      <c r="D91" s="31"/>
      <c r="E91" s="31"/>
      <c r="F91" s="31"/>
      <c r="G91" s="32" t="s">
        <v>81</v>
      </c>
      <c r="H91" s="32"/>
      <c r="I91" s="32" t="s">
        <v>145</v>
      </c>
      <c r="J91" s="32"/>
      <c r="K91" s="33" t="s">
        <v>112</v>
      </c>
      <c r="L91" s="33"/>
      <c r="M91" s="34">
        <f>3000</f>
        <v>3000</v>
      </c>
      <c r="N91" s="34"/>
      <c r="O91" s="36" t="s">
        <v>41</v>
      </c>
      <c r="P91" s="36"/>
      <c r="Q91" s="36"/>
      <c r="R91" s="36"/>
      <c r="S91" s="36"/>
      <c r="T91" s="35">
        <f>3000</f>
        <v>3000</v>
      </c>
      <c r="U91" s="35"/>
    </row>
    <row r="92" spans="1:21" s="1" customFormat="1" ht="14.1" customHeight="1">
      <c r="A92" s="31" t="s">
        <v>100</v>
      </c>
      <c r="B92" s="31"/>
      <c r="C92" s="31"/>
      <c r="D92" s="31"/>
      <c r="E92" s="31"/>
      <c r="F92" s="31"/>
      <c r="G92" s="32" t="s">
        <v>81</v>
      </c>
      <c r="H92" s="32"/>
      <c r="I92" s="32" t="s">
        <v>146</v>
      </c>
      <c r="J92" s="32"/>
      <c r="K92" s="33" t="s">
        <v>101</v>
      </c>
      <c r="L92" s="33"/>
      <c r="M92" s="34">
        <f>10000</f>
        <v>10000</v>
      </c>
      <c r="N92" s="34"/>
      <c r="O92" s="36" t="s">
        <v>41</v>
      </c>
      <c r="P92" s="36"/>
      <c r="Q92" s="36"/>
      <c r="R92" s="36"/>
      <c r="S92" s="36"/>
      <c r="T92" s="35">
        <f>10000</f>
        <v>10000</v>
      </c>
      <c r="U92" s="35"/>
    </row>
    <row r="93" spans="1:21" s="1" customFormat="1" ht="14.1" customHeight="1">
      <c r="A93" s="31" t="s">
        <v>105</v>
      </c>
      <c r="B93" s="31"/>
      <c r="C93" s="31"/>
      <c r="D93" s="31"/>
      <c r="E93" s="31"/>
      <c r="F93" s="31"/>
      <c r="G93" s="32" t="s">
        <v>81</v>
      </c>
      <c r="H93" s="32"/>
      <c r="I93" s="32" t="s">
        <v>146</v>
      </c>
      <c r="J93" s="32"/>
      <c r="K93" s="33" t="s">
        <v>106</v>
      </c>
      <c r="L93" s="33"/>
      <c r="M93" s="34">
        <f>1235000</f>
        <v>1235000</v>
      </c>
      <c r="N93" s="34"/>
      <c r="O93" s="34">
        <f>731106.13</f>
        <v>731106.13</v>
      </c>
      <c r="P93" s="34"/>
      <c r="Q93" s="34"/>
      <c r="R93" s="34"/>
      <c r="S93" s="34"/>
      <c r="T93" s="35">
        <f>503893.87</f>
        <v>503893.87</v>
      </c>
      <c r="U93" s="35"/>
    </row>
    <row r="94" spans="1:21" s="1" customFormat="1" ht="14.1" customHeight="1">
      <c r="A94" s="31" t="s">
        <v>107</v>
      </c>
      <c r="B94" s="31"/>
      <c r="C94" s="31"/>
      <c r="D94" s="31"/>
      <c r="E94" s="31"/>
      <c r="F94" s="31"/>
      <c r="G94" s="32" t="s">
        <v>81</v>
      </c>
      <c r="H94" s="32"/>
      <c r="I94" s="32" t="s">
        <v>146</v>
      </c>
      <c r="J94" s="32"/>
      <c r="K94" s="33" t="s">
        <v>108</v>
      </c>
      <c r="L94" s="33"/>
      <c r="M94" s="34">
        <f>228000</f>
        <v>228000</v>
      </c>
      <c r="N94" s="34"/>
      <c r="O94" s="34">
        <f>216700</f>
        <v>216700</v>
      </c>
      <c r="P94" s="34"/>
      <c r="Q94" s="34"/>
      <c r="R94" s="34"/>
      <c r="S94" s="34"/>
      <c r="T94" s="35">
        <f>11300</f>
        <v>11300</v>
      </c>
      <c r="U94" s="35"/>
    </row>
    <row r="95" spans="1:21" s="1" customFormat="1" ht="14.1" customHeight="1">
      <c r="A95" s="31" t="s">
        <v>109</v>
      </c>
      <c r="B95" s="31"/>
      <c r="C95" s="31"/>
      <c r="D95" s="31"/>
      <c r="E95" s="31"/>
      <c r="F95" s="31"/>
      <c r="G95" s="32" t="s">
        <v>81</v>
      </c>
      <c r="H95" s="32"/>
      <c r="I95" s="32" t="s">
        <v>146</v>
      </c>
      <c r="J95" s="32"/>
      <c r="K95" s="33" t="s">
        <v>110</v>
      </c>
      <c r="L95" s="33"/>
      <c r="M95" s="34">
        <f>54510</f>
        <v>54510</v>
      </c>
      <c r="N95" s="34"/>
      <c r="O95" s="34">
        <f>7400</f>
        <v>7400</v>
      </c>
      <c r="P95" s="34"/>
      <c r="Q95" s="34"/>
      <c r="R95" s="34"/>
      <c r="S95" s="34"/>
      <c r="T95" s="35">
        <f>47110</f>
        <v>47110</v>
      </c>
      <c r="U95" s="35"/>
    </row>
    <row r="96" spans="1:21" s="1" customFormat="1" ht="14.1" customHeight="1">
      <c r="A96" s="31" t="s">
        <v>96</v>
      </c>
      <c r="B96" s="31"/>
      <c r="C96" s="31"/>
      <c r="D96" s="31"/>
      <c r="E96" s="31"/>
      <c r="F96" s="31"/>
      <c r="G96" s="32" t="s">
        <v>81</v>
      </c>
      <c r="H96" s="32"/>
      <c r="I96" s="32" t="s">
        <v>146</v>
      </c>
      <c r="J96" s="32"/>
      <c r="K96" s="33" t="s">
        <v>98</v>
      </c>
      <c r="L96" s="33"/>
      <c r="M96" s="34">
        <f>100500</f>
        <v>100500</v>
      </c>
      <c r="N96" s="34"/>
      <c r="O96" s="34">
        <f>82500</f>
        <v>82500</v>
      </c>
      <c r="P96" s="34"/>
      <c r="Q96" s="34"/>
      <c r="R96" s="34"/>
      <c r="S96" s="34"/>
      <c r="T96" s="35">
        <f>18000</f>
        <v>18000</v>
      </c>
      <c r="U96" s="35"/>
    </row>
    <row r="97" spans="1:21" s="1" customFormat="1" ht="14.1" customHeight="1">
      <c r="A97" s="31" t="s">
        <v>129</v>
      </c>
      <c r="B97" s="31"/>
      <c r="C97" s="31"/>
      <c r="D97" s="31"/>
      <c r="E97" s="31"/>
      <c r="F97" s="31"/>
      <c r="G97" s="32" t="s">
        <v>81</v>
      </c>
      <c r="H97" s="32"/>
      <c r="I97" s="32" t="s">
        <v>146</v>
      </c>
      <c r="J97" s="32"/>
      <c r="K97" s="33" t="s">
        <v>130</v>
      </c>
      <c r="L97" s="33"/>
      <c r="M97" s="34">
        <f>80000</f>
        <v>80000</v>
      </c>
      <c r="N97" s="34"/>
      <c r="O97" s="34">
        <f>76427.21</f>
        <v>76427.210000000006</v>
      </c>
      <c r="P97" s="34"/>
      <c r="Q97" s="34"/>
      <c r="R97" s="34"/>
      <c r="S97" s="34"/>
      <c r="T97" s="35">
        <f>3572.79</f>
        <v>3572.79</v>
      </c>
      <c r="U97" s="35"/>
    </row>
    <row r="98" spans="1:21" s="1" customFormat="1" ht="14.1" customHeight="1">
      <c r="A98" s="31" t="s">
        <v>111</v>
      </c>
      <c r="B98" s="31"/>
      <c r="C98" s="31"/>
      <c r="D98" s="31"/>
      <c r="E98" s="31"/>
      <c r="F98" s="31"/>
      <c r="G98" s="32" t="s">
        <v>81</v>
      </c>
      <c r="H98" s="32"/>
      <c r="I98" s="32" t="s">
        <v>146</v>
      </c>
      <c r="J98" s="32"/>
      <c r="K98" s="33" t="s">
        <v>112</v>
      </c>
      <c r="L98" s="33"/>
      <c r="M98" s="34">
        <f>28490</f>
        <v>28490</v>
      </c>
      <c r="N98" s="34"/>
      <c r="O98" s="34">
        <f>24220</f>
        <v>24220</v>
      </c>
      <c r="P98" s="34"/>
      <c r="Q98" s="34"/>
      <c r="R98" s="34"/>
      <c r="S98" s="34"/>
      <c r="T98" s="35">
        <f>4270</f>
        <v>4270</v>
      </c>
      <c r="U98" s="35"/>
    </row>
    <row r="99" spans="1:21" s="1" customFormat="1" ht="14.1" customHeight="1">
      <c r="A99" s="31" t="s">
        <v>96</v>
      </c>
      <c r="B99" s="31"/>
      <c r="C99" s="31"/>
      <c r="D99" s="31"/>
      <c r="E99" s="31"/>
      <c r="F99" s="31"/>
      <c r="G99" s="32" t="s">
        <v>81</v>
      </c>
      <c r="H99" s="32"/>
      <c r="I99" s="32" t="s">
        <v>147</v>
      </c>
      <c r="J99" s="32"/>
      <c r="K99" s="33" t="s">
        <v>98</v>
      </c>
      <c r="L99" s="33"/>
      <c r="M99" s="34">
        <f>5000</f>
        <v>5000</v>
      </c>
      <c r="N99" s="34"/>
      <c r="O99" s="34">
        <f>318</f>
        <v>318</v>
      </c>
      <c r="P99" s="34"/>
      <c r="Q99" s="34"/>
      <c r="R99" s="34"/>
      <c r="S99" s="34"/>
      <c r="T99" s="35">
        <f>4682</f>
        <v>4682</v>
      </c>
      <c r="U99" s="35"/>
    </row>
    <row r="100" spans="1:21" s="1" customFormat="1" ht="14.1" customHeight="1">
      <c r="A100" s="31" t="s">
        <v>96</v>
      </c>
      <c r="B100" s="31"/>
      <c r="C100" s="31"/>
      <c r="D100" s="31"/>
      <c r="E100" s="31"/>
      <c r="F100" s="31"/>
      <c r="G100" s="32" t="s">
        <v>81</v>
      </c>
      <c r="H100" s="32"/>
      <c r="I100" s="32" t="s">
        <v>148</v>
      </c>
      <c r="J100" s="32"/>
      <c r="K100" s="33" t="s">
        <v>98</v>
      </c>
      <c r="L100" s="33"/>
      <c r="M100" s="34">
        <f>5000</f>
        <v>5000</v>
      </c>
      <c r="N100" s="34"/>
      <c r="O100" s="34">
        <f>4555.23</f>
        <v>4555.2299999999996</v>
      </c>
      <c r="P100" s="34"/>
      <c r="Q100" s="34"/>
      <c r="R100" s="34"/>
      <c r="S100" s="34"/>
      <c r="T100" s="35">
        <f>444.77</f>
        <v>444.77</v>
      </c>
      <c r="U100" s="35"/>
    </row>
    <row r="101" spans="1:21" s="1" customFormat="1" ht="14.1" customHeight="1">
      <c r="A101" s="31" t="s">
        <v>82</v>
      </c>
      <c r="B101" s="31"/>
      <c r="C101" s="31"/>
      <c r="D101" s="31"/>
      <c r="E101" s="31"/>
      <c r="F101" s="31"/>
      <c r="G101" s="32" t="s">
        <v>81</v>
      </c>
      <c r="H101" s="32"/>
      <c r="I101" s="32" t="s">
        <v>149</v>
      </c>
      <c r="J101" s="32"/>
      <c r="K101" s="33" t="s">
        <v>84</v>
      </c>
      <c r="L101" s="33"/>
      <c r="M101" s="34">
        <f>192447</f>
        <v>192447</v>
      </c>
      <c r="N101" s="34"/>
      <c r="O101" s="34">
        <f>72166.04</f>
        <v>72166.039999999994</v>
      </c>
      <c r="P101" s="34"/>
      <c r="Q101" s="34"/>
      <c r="R101" s="34"/>
      <c r="S101" s="34"/>
      <c r="T101" s="35">
        <f>120280.96</f>
        <v>120280.96000000001</v>
      </c>
      <c r="U101" s="35"/>
    </row>
    <row r="102" spans="1:21" s="1" customFormat="1" ht="14.1" customHeight="1">
      <c r="A102" s="31" t="s">
        <v>85</v>
      </c>
      <c r="B102" s="31"/>
      <c r="C102" s="31"/>
      <c r="D102" s="31"/>
      <c r="E102" s="31"/>
      <c r="F102" s="31"/>
      <c r="G102" s="32" t="s">
        <v>81</v>
      </c>
      <c r="H102" s="32"/>
      <c r="I102" s="32" t="s">
        <v>150</v>
      </c>
      <c r="J102" s="32"/>
      <c r="K102" s="33" t="s">
        <v>87</v>
      </c>
      <c r="L102" s="33"/>
      <c r="M102" s="34">
        <f>58053</f>
        <v>58053</v>
      </c>
      <c r="N102" s="34"/>
      <c r="O102" s="34">
        <f>19286.95</f>
        <v>19286.95</v>
      </c>
      <c r="P102" s="34"/>
      <c r="Q102" s="34"/>
      <c r="R102" s="34"/>
      <c r="S102" s="34"/>
      <c r="T102" s="35">
        <f>38766.05</f>
        <v>38766.050000000003</v>
      </c>
      <c r="U102" s="35"/>
    </row>
    <row r="103" spans="1:21" s="1" customFormat="1" ht="14.1" customHeight="1">
      <c r="A103" s="31" t="s">
        <v>82</v>
      </c>
      <c r="B103" s="31"/>
      <c r="C103" s="31"/>
      <c r="D103" s="31"/>
      <c r="E103" s="31"/>
      <c r="F103" s="31"/>
      <c r="G103" s="32" t="s">
        <v>81</v>
      </c>
      <c r="H103" s="32"/>
      <c r="I103" s="32" t="s">
        <v>151</v>
      </c>
      <c r="J103" s="32"/>
      <c r="K103" s="33" t="s">
        <v>84</v>
      </c>
      <c r="L103" s="33"/>
      <c r="M103" s="34">
        <f>10138</f>
        <v>10138</v>
      </c>
      <c r="N103" s="34"/>
      <c r="O103" s="34">
        <f>3608.2</f>
        <v>3608.2</v>
      </c>
      <c r="P103" s="34"/>
      <c r="Q103" s="34"/>
      <c r="R103" s="34"/>
      <c r="S103" s="34"/>
      <c r="T103" s="35">
        <f>6529.8</f>
        <v>6529.8</v>
      </c>
      <c r="U103" s="35"/>
    </row>
    <row r="104" spans="1:21" s="1" customFormat="1" ht="14.1" customHeight="1">
      <c r="A104" s="31" t="s">
        <v>85</v>
      </c>
      <c r="B104" s="31"/>
      <c r="C104" s="31"/>
      <c r="D104" s="31"/>
      <c r="E104" s="31"/>
      <c r="F104" s="31"/>
      <c r="G104" s="32" t="s">
        <v>81</v>
      </c>
      <c r="H104" s="32"/>
      <c r="I104" s="32" t="s">
        <v>152</v>
      </c>
      <c r="J104" s="32"/>
      <c r="K104" s="33" t="s">
        <v>87</v>
      </c>
      <c r="L104" s="33"/>
      <c r="M104" s="34">
        <f>3062</f>
        <v>3062</v>
      </c>
      <c r="N104" s="34"/>
      <c r="O104" s="34">
        <f>964.34</f>
        <v>964.34</v>
      </c>
      <c r="P104" s="34"/>
      <c r="Q104" s="34"/>
      <c r="R104" s="34"/>
      <c r="S104" s="34"/>
      <c r="T104" s="35">
        <f>2097.66</f>
        <v>2097.66</v>
      </c>
      <c r="U104" s="35"/>
    </row>
    <row r="105" spans="1:21" s="1" customFormat="1" ht="24" customHeight="1">
      <c r="A105" s="31" t="s">
        <v>153</v>
      </c>
      <c r="B105" s="31"/>
      <c r="C105" s="31"/>
      <c r="D105" s="31"/>
      <c r="E105" s="31"/>
      <c r="F105" s="31"/>
      <c r="G105" s="32" t="s">
        <v>81</v>
      </c>
      <c r="H105" s="32"/>
      <c r="I105" s="32" t="s">
        <v>154</v>
      </c>
      <c r="J105" s="32"/>
      <c r="K105" s="33" t="s">
        <v>155</v>
      </c>
      <c r="L105" s="33"/>
      <c r="M105" s="34">
        <f>60000</f>
        <v>60000</v>
      </c>
      <c r="N105" s="34"/>
      <c r="O105" s="34">
        <f>45000</f>
        <v>45000</v>
      </c>
      <c r="P105" s="34"/>
      <c r="Q105" s="34"/>
      <c r="R105" s="34"/>
      <c r="S105" s="34"/>
      <c r="T105" s="35">
        <f>15000</f>
        <v>15000</v>
      </c>
      <c r="U105" s="35"/>
    </row>
    <row r="106" spans="1:21" s="1" customFormat="1" ht="14.1" customHeight="1">
      <c r="A106" s="31" t="s">
        <v>96</v>
      </c>
      <c r="B106" s="31"/>
      <c r="C106" s="31"/>
      <c r="D106" s="31"/>
      <c r="E106" s="31"/>
      <c r="F106" s="31"/>
      <c r="G106" s="32" t="s">
        <v>81</v>
      </c>
      <c r="H106" s="32"/>
      <c r="I106" s="32" t="s">
        <v>156</v>
      </c>
      <c r="J106" s="32"/>
      <c r="K106" s="33" t="s">
        <v>98</v>
      </c>
      <c r="L106" s="33"/>
      <c r="M106" s="34">
        <f>15000</f>
        <v>15000</v>
      </c>
      <c r="N106" s="34"/>
      <c r="O106" s="36" t="s">
        <v>41</v>
      </c>
      <c r="P106" s="36"/>
      <c r="Q106" s="36"/>
      <c r="R106" s="36"/>
      <c r="S106" s="36"/>
      <c r="T106" s="35">
        <f>15000</f>
        <v>15000</v>
      </c>
      <c r="U106" s="35"/>
    </row>
    <row r="107" spans="1:21" s="1" customFormat="1" ht="14.1" customHeight="1">
      <c r="A107" s="31" t="s">
        <v>109</v>
      </c>
      <c r="B107" s="31"/>
      <c r="C107" s="31"/>
      <c r="D107" s="31"/>
      <c r="E107" s="31"/>
      <c r="F107" s="31"/>
      <c r="G107" s="32" t="s">
        <v>81</v>
      </c>
      <c r="H107" s="32"/>
      <c r="I107" s="32" t="s">
        <v>157</v>
      </c>
      <c r="J107" s="32"/>
      <c r="K107" s="33" t="s">
        <v>110</v>
      </c>
      <c r="L107" s="33"/>
      <c r="M107" s="34">
        <f>40000</f>
        <v>40000</v>
      </c>
      <c r="N107" s="34"/>
      <c r="O107" s="36" t="s">
        <v>41</v>
      </c>
      <c r="P107" s="36"/>
      <c r="Q107" s="36"/>
      <c r="R107" s="36"/>
      <c r="S107" s="36"/>
      <c r="T107" s="35">
        <f>40000</f>
        <v>40000</v>
      </c>
      <c r="U107" s="35"/>
    </row>
    <row r="108" spans="1:21" s="1" customFormat="1" ht="15" customHeight="1">
      <c r="A108" s="37" t="s">
        <v>158</v>
      </c>
      <c r="B108" s="37"/>
      <c r="C108" s="37"/>
      <c r="D108" s="37"/>
      <c r="E108" s="37"/>
      <c r="F108" s="37"/>
      <c r="G108" s="38" t="s">
        <v>159</v>
      </c>
      <c r="H108" s="38"/>
      <c r="I108" s="38" t="s">
        <v>36</v>
      </c>
      <c r="J108" s="38"/>
      <c r="K108" s="39" t="s">
        <v>36</v>
      </c>
      <c r="L108" s="39"/>
      <c r="M108" s="40">
        <f>-2168657.79</f>
        <v>-2168657.79</v>
      </c>
      <c r="N108" s="40"/>
      <c r="O108" s="40">
        <f>4214757.78</f>
        <v>4214757.78</v>
      </c>
      <c r="P108" s="40"/>
      <c r="Q108" s="40"/>
      <c r="R108" s="40"/>
      <c r="S108" s="40"/>
      <c r="T108" s="41" t="s">
        <v>36</v>
      </c>
      <c r="U108" s="41"/>
    </row>
    <row r="109" spans="1:21" s="1" customFormat="1" ht="14.1" customHeight="1">
      <c r="A109" s="7" t="s">
        <v>10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s="1" customFormat="1" ht="14.1" customHeight="1">
      <c r="A110" s="12" t="s">
        <v>160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s="1" customFormat="1" ht="45.95" customHeight="1">
      <c r="A111" s="13" t="s">
        <v>22</v>
      </c>
      <c r="B111" s="13"/>
      <c r="C111" s="13"/>
      <c r="D111" s="13"/>
      <c r="E111" s="13"/>
      <c r="F111" s="13"/>
      <c r="G111" s="13"/>
      <c r="H111" s="13" t="s">
        <v>23</v>
      </c>
      <c r="I111" s="13"/>
      <c r="J111" s="13" t="s">
        <v>161</v>
      </c>
      <c r="K111" s="13"/>
      <c r="L111" s="14" t="s">
        <v>25</v>
      </c>
      <c r="M111" s="14"/>
      <c r="N111" s="14" t="s">
        <v>26</v>
      </c>
      <c r="O111" s="14"/>
      <c r="P111" s="14"/>
      <c r="Q111" s="14"/>
      <c r="R111" s="14"/>
      <c r="S111" s="15" t="s">
        <v>27</v>
      </c>
      <c r="T111" s="15"/>
      <c r="U111" s="15"/>
    </row>
    <row r="112" spans="1:21" s="1" customFormat="1" ht="12.95" customHeight="1">
      <c r="A112" s="16" t="s">
        <v>28</v>
      </c>
      <c r="B112" s="16"/>
      <c r="C112" s="16"/>
      <c r="D112" s="16"/>
      <c r="E112" s="16"/>
      <c r="F112" s="16"/>
      <c r="G112" s="16"/>
      <c r="H112" s="16" t="s">
        <v>29</v>
      </c>
      <c r="I112" s="16"/>
      <c r="J112" s="16" t="s">
        <v>30</v>
      </c>
      <c r="K112" s="16"/>
      <c r="L112" s="17" t="s">
        <v>31</v>
      </c>
      <c r="M112" s="17"/>
      <c r="N112" s="17" t="s">
        <v>32</v>
      </c>
      <c r="O112" s="17"/>
      <c r="P112" s="17"/>
      <c r="Q112" s="17"/>
      <c r="R112" s="17"/>
      <c r="S112" s="18" t="s">
        <v>33</v>
      </c>
      <c r="T112" s="18"/>
      <c r="U112" s="18"/>
    </row>
    <row r="113" spans="1:21" s="1" customFormat="1" ht="14.1" customHeight="1">
      <c r="A113" s="19" t="s">
        <v>162</v>
      </c>
      <c r="B113" s="19"/>
      <c r="C113" s="19"/>
      <c r="D113" s="19"/>
      <c r="E113" s="19"/>
      <c r="F113" s="19"/>
      <c r="G113" s="19"/>
      <c r="H113" s="20" t="s">
        <v>163</v>
      </c>
      <c r="I113" s="20"/>
      <c r="J113" s="20" t="s">
        <v>36</v>
      </c>
      <c r="K113" s="20"/>
      <c r="L113" s="42">
        <f>2168657.79</f>
        <v>2168657.79</v>
      </c>
      <c r="M113" s="42"/>
      <c r="N113" s="21">
        <f>-4214757.78</f>
        <v>-4214757.78</v>
      </c>
      <c r="O113" s="21"/>
      <c r="P113" s="21"/>
      <c r="Q113" s="21"/>
      <c r="R113" s="21"/>
      <c r="S113" s="43" t="s">
        <v>36</v>
      </c>
      <c r="T113" s="43"/>
      <c r="U113" s="43"/>
    </row>
    <row r="114" spans="1:21" s="1" customFormat="1" ht="14.1" customHeight="1">
      <c r="A114" s="44" t="s">
        <v>164</v>
      </c>
      <c r="B114" s="44"/>
      <c r="C114" s="44"/>
      <c r="D114" s="44"/>
      <c r="E114" s="44"/>
      <c r="F114" s="44"/>
      <c r="G114" s="44"/>
      <c r="H114" s="45" t="s">
        <v>10</v>
      </c>
      <c r="I114" s="45"/>
      <c r="J114" s="45" t="s">
        <v>10</v>
      </c>
      <c r="K114" s="45"/>
      <c r="L114" s="46" t="s">
        <v>10</v>
      </c>
      <c r="M114" s="46"/>
      <c r="N114" s="47" t="s">
        <v>10</v>
      </c>
      <c r="O114" s="47"/>
      <c r="P114" s="47"/>
      <c r="Q114" s="47"/>
      <c r="R114" s="47"/>
      <c r="S114" s="48" t="s">
        <v>10</v>
      </c>
      <c r="T114" s="48"/>
      <c r="U114" s="48"/>
    </row>
    <row r="115" spans="1:21" s="1" customFormat="1" ht="14.1" customHeight="1">
      <c r="A115" s="23" t="s">
        <v>165</v>
      </c>
      <c r="B115" s="23"/>
      <c r="C115" s="23"/>
      <c r="D115" s="23"/>
      <c r="E115" s="23"/>
      <c r="F115" s="23"/>
      <c r="G115" s="23"/>
      <c r="H115" s="49" t="s">
        <v>166</v>
      </c>
      <c r="I115" s="49"/>
      <c r="J115" s="24" t="s">
        <v>36</v>
      </c>
      <c r="K115" s="24"/>
      <c r="L115" s="50" t="s">
        <v>41</v>
      </c>
      <c r="M115" s="50"/>
      <c r="N115" s="28" t="s">
        <v>41</v>
      </c>
      <c r="O115" s="28"/>
      <c r="P115" s="28"/>
      <c r="Q115" s="28"/>
      <c r="R115" s="28"/>
      <c r="S115" s="51" t="s">
        <v>41</v>
      </c>
      <c r="T115" s="51"/>
      <c r="U115" s="51"/>
    </row>
    <row r="116" spans="1:21" s="1" customFormat="1" ht="14.1" customHeight="1">
      <c r="A116" s="33" t="s">
        <v>10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</row>
    <row r="117" spans="1:21" s="1" customFormat="1" ht="14.1" customHeight="1">
      <c r="A117" s="31" t="s">
        <v>167</v>
      </c>
      <c r="B117" s="31"/>
      <c r="C117" s="31"/>
      <c r="D117" s="31"/>
      <c r="E117" s="31"/>
      <c r="F117" s="31"/>
      <c r="G117" s="31"/>
      <c r="H117" s="45" t="s">
        <v>168</v>
      </c>
      <c r="I117" s="45"/>
      <c r="J117" s="45" t="s">
        <v>36</v>
      </c>
      <c r="K117" s="45"/>
      <c r="L117" s="46" t="s">
        <v>41</v>
      </c>
      <c r="M117" s="46"/>
      <c r="N117" s="36" t="s">
        <v>41</v>
      </c>
      <c r="O117" s="36"/>
      <c r="P117" s="36"/>
      <c r="Q117" s="36"/>
      <c r="R117" s="36"/>
      <c r="S117" s="48" t="s">
        <v>41</v>
      </c>
      <c r="T117" s="48"/>
      <c r="U117" s="48"/>
    </row>
    <row r="118" spans="1:21" s="1" customFormat="1" ht="14.1" customHeight="1">
      <c r="A118" s="31" t="s">
        <v>10</v>
      </c>
      <c r="B118" s="31"/>
      <c r="C118" s="31"/>
      <c r="D118" s="31"/>
      <c r="E118" s="31"/>
      <c r="F118" s="31"/>
      <c r="G118" s="31"/>
      <c r="H118" s="32" t="s">
        <v>168</v>
      </c>
      <c r="I118" s="32"/>
      <c r="J118" s="32" t="s">
        <v>10</v>
      </c>
      <c r="K118" s="32"/>
      <c r="L118" s="52" t="s">
        <v>41</v>
      </c>
      <c r="M118" s="52"/>
      <c r="N118" s="36" t="s">
        <v>41</v>
      </c>
      <c r="O118" s="36"/>
      <c r="P118" s="36"/>
      <c r="Q118" s="36"/>
      <c r="R118" s="36"/>
      <c r="S118" s="53" t="s">
        <v>41</v>
      </c>
      <c r="T118" s="53"/>
      <c r="U118" s="53"/>
    </row>
    <row r="119" spans="1:21" s="1" customFormat="1" ht="14.1" customHeight="1">
      <c r="A119" s="31" t="s">
        <v>169</v>
      </c>
      <c r="B119" s="31"/>
      <c r="C119" s="31"/>
      <c r="D119" s="31"/>
      <c r="E119" s="31"/>
      <c r="F119" s="31"/>
      <c r="G119" s="31"/>
      <c r="H119" s="32" t="s">
        <v>170</v>
      </c>
      <c r="I119" s="32"/>
      <c r="J119" s="32" t="s">
        <v>171</v>
      </c>
      <c r="K119" s="32"/>
      <c r="L119" s="54">
        <f>2168657.79</f>
        <v>2168657.79</v>
      </c>
      <c r="M119" s="54"/>
      <c r="N119" s="34">
        <f>-4214757.78</f>
        <v>-4214757.78</v>
      </c>
      <c r="O119" s="34"/>
      <c r="P119" s="34"/>
      <c r="Q119" s="34"/>
      <c r="R119" s="34"/>
      <c r="S119" s="55">
        <f>6383415.57</f>
        <v>6383415.5700000003</v>
      </c>
      <c r="T119" s="55"/>
      <c r="U119" s="55"/>
    </row>
    <row r="120" spans="1:21" s="1" customFormat="1" ht="14.1" customHeight="1">
      <c r="A120" s="31" t="s">
        <v>172</v>
      </c>
      <c r="B120" s="31"/>
      <c r="C120" s="31"/>
      <c r="D120" s="31"/>
      <c r="E120" s="31"/>
      <c r="F120" s="31"/>
      <c r="G120" s="31"/>
      <c r="H120" s="32" t="s">
        <v>173</v>
      </c>
      <c r="I120" s="32"/>
      <c r="J120" s="32" t="s">
        <v>174</v>
      </c>
      <c r="K120" s="32"/>
      <c r="L120" s="54">
        <f>-42956217.44</f>
        <v>-42956217.439999998</v>
      </c>
      <c r="M120" s="54"/>
      <c r="N120" s="34">
        <f>-29875571.84</f>
        <v>-29875571.84</v>
      </c>
      <c r="O120" s="34"/>
      <c r="P120" s="34"/>
      <c r="Q120" s="34"/>
      <c r="R120" s="34"/>
      <c r="S120" s="56" t="s">
        <v>36</v>
      </c>
      <c r="T120" s="56"/>
      <c r="U120" s="56"/>
    </row>
    <row r="121" spans="1:21" s="1" customFormat="1" ht="14.1" customHeight="1">
      <c r="A121" s="31" t="s">
        <v>175</v>
      </c>
      <c r="B121" s="31"/>
      <c r="C121" s="31"/>
      <c r="D121" s="31"/>
      <c r="E121" s="31"/>
      <c r="F121" s="31"/>
      <c r="G121" s="31"/>
      <c r="H121" s="32" t="s">
        <v>176</v>
      </c>
      <c r="I121" s="32"/>
      <c r="J121" s="32" t="s">
        <v>177</v>
      </c>
      <c r="K121" s="32"/>
      <c r="L121" s="54">
        <f>45124875.23</f>
        <v>45124875.229999997</v>
      </c>
      <c r="M121" s="54"/>
      <c r="N121" s="34">
        <f>25660814.06</f>
        <v>25660814.059999999</v>
      </c>
      <c r="O121" s="34"/>
      <c r="P121" s="34"/>
      <c r="Q121" s="34"/>
      <c r="R121" s="34"/>
      <c r="S121" s="56" t="s">
        <v>36</v>
      </c>
      <c r="T121" s="56"/>
      <c r="U121" s="56"/>
    </row>
    <row r="122" spans="1:21" s="1" customFormat="1" ht="14.1" customHeight="1">
      <c r="A122" s="57" t="s">
        <v>10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</row>
    <row r="123" spans="1:21" s="1" customFormat="1" ht="15.95" customHeight="1">
      <c r="A123" s="7" t="s">
        <v>10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s="1" customFormat="1" ht="14.1" customHeight="1">
      <c r="A124" s="58" t="s">
        <v>178</v>
      </c>
      <c r="B124" s="58"/>
      <c r="C124" s="58"/>
      <c r="D124" s="58"/>
      <c r="E124" s="58"/>
      <c r="F124" s="7" t="s">
        <v>10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s="1" customFormat="1" ht="14.1" customHeight="1">
      <c r="A125" s="4" t="s">
        <v>179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</sheetData>
  <mergeCells count="743">
    <mergeCell ref="A122:U122"/>
    <mergeCell ref="A123:U123"/>
    <mergeCell ref="A124:E124"/>
    <mergeCell ref="F124:U124"/>
    <mergeCell ref="A125:U125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A119:G119"/>
    <mergeCell ref="H119:I119"/>
    <mergeCell ref="J119:K119"/>
    <mergeCell ref="L119:M119"/>
    <mergeCell ref="N119:R119"/>
    <mergeCell ref="S119:U119"/>
    <mergeCell ref="A118:G118"/>
    <mergeCell ref="H118:I118"/>
    <mergeCell ref="J118:K118"/>
    <mergeCell ref="L118:M118"/>
    <mergeCell ref="N118:R118"/>
    <mergeCell ref="S118:U118"/>
    <mergeCell ref="A116:U116"/>
    <mergeCell ref="A117:G117"/>
    <mergeCell ref="H117:I117"/>
    <mergeCell ref="J117:K117"/>
    <mergeCell ref="L117:M117"/>
    <mergeCell ref="N117:R117"/>
    <mergeCell ref="S117:U117"/>
    <mergeCell ref="A115:G115"/>
    <mergeCell ref="H115:I115"/>
    <mergeCell ref="J115:K115"/>
    <mergeCell ref="L115:M115"/>
    <mergeCell ref="N115:R115"/>
    <mergeCell ref="S115:U115"/>
    <mergeCell ref="A114:G114"/>
    <mergeCell ref="H114:I114"/>
    <mergeCell ref="J114:K114"/>
    <mergeCell ref="L114:M114"/>
    <mergeCell ref="N114:R114"/>
    <mergeCell ref="S114:U114"/>
    <mergeCell ref="A113:G113"/>
    <mergeCell ref="H113:I113"/>
    <mergeCell ref="J113:K113"/>
    <mergeCell ref="L113:M113"/>
    <mergeCell ref="N113:R113"/>
    <mergeCell ref="S113:U113"/>
    <mergeCell ref="A112:G112"/>
    <mergeCell ref="H112:I112"/>
    <mergeCell ref="J112:K112"/>
    <mergeCell ref="L112:M112"/>
    <mergeCell ref="N112:R112"/>
    <mergeCell ref="S112:U112"/>
    <mergeCell ref="A109:U109"/>
    <mergeCell ref="A110:U110"/>
    <mergeCell ref="A111:G111"/>
    <mergeCell ref="H111:I111"/>
    <mergeCell ref="J111:K111"/>
    <mergeCell ref="L111:M111"/>
    <mergeCell ref="N111:R111"/>
    <mergeCell ref="S111:U111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41:N41"/>
    <mergeCell ref="O41:S41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M39:N39"/>
    <mergeCell ref="O39:S39"/>
    <mergeCell ref="T37:U37"/>
    <mergeCell ref="A38:F38"/>
    <mergeCell ref="G38:H38"/>
    <mergeCell ref="I38:J38"/>
    <mergeCell ref="K38:L38"/>
    <mergeCell ref="M38:N38"/>
    <mergeCell ref="O38:S38"/>
    <mergeCell ref="T38:U38"/>
    <mergeCell ref="A37:F37"/>
    <mergeCell ref="G37:H37"/>
    <mergeCell ref="I37:J37"/>
    <mergeCell ref="K37:L37"/>
    <mergeCell ref="M37:N37"/>
    <mergeCell ref="O37:S37"/>
    <mergeCell ref="T35:U35"/>
    <mergeCell ref="A36:F36"/>
    <mergeCell ref="G36:H36"/>
    <mergeCell ref="I36:J36"/>
    <mergeCell ref="K36:L36"/>
    <mergeCell ref="M36:N36"/>
    <mergeCell ref="O36:S36"/>
    <mergeCell ref="T36:U36"/>
    <mergeCell ref="A35:F35"/>
    <mergeCell ref="G35:H35"/>
    <mergeCell ref="I35:J35"/>
    <mergeCell ref="K35:L35"/>
    <mergeCell ref="M35:N35"/>
    <mergeCell ref="O35:S35"/>
    <mergeCell ref="A32:U32"/>
    <mergeCell ref="A33:U33"/>
    <mergeCell ref="A34:F34"/>
    <mergeCell ref="G34:H34"/>
    <mergeCell ref="I34:J34"/>
    <mergeCell ref="K34:L34"/>
    <mergeCell ref="M34:N34"/>
    <mergeCell ref="O34:S34"/>
    <mergeCell ref="T34:U34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ageMargins left="0.39370078740157483" right="0" top="0.39370078740157483" bottom="0" header="0.51181102362204722" footer="0.51181102362204722"/>
  <pageSetup paperSize="9" scale="65" firstPageNumber="4294967295" orientation="portrait" horizontalDpi="0" verticalDpi="0" r:id="rId1"/>
  <headerFooter alignWithMargins="0">
    <oddFooter>&amp;CСтраница &amp;С из &amp;К</oddFooter>
  </headerFooter>
  <rowBreaks count="2" manualBreakCount="2">
    <brk id="32" max="16383" man="1"/>
    <brk id="109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</dc:creator>
  <cp:lastModifiedBy>User 2</cp:lastModifiedBy>
  <cp:lastPrinted>2017-11-07T11:47:45Z</cp:lastPrinted>
  <dcterms:created xsi:type="dcterms:W3CDTF">2017-11-07T11:47:56Z</dcterms:created>
  <dcterms:modified xsi:type="dcterms:W3CDTF">2017-11-07T11:47:56Z</dcterms:modified>
</cp:coreProperties>
</file>